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5"/>
  </bookViews>
  <sheets>
    <sheet name="IIP-giamdan" sheetId="1" r:id="rId1"/>
    <sheet name="GTSXCN" sheetId="2" r:id="rId2"/>
    <sheet name="IIP" sheetId="3" r:id="rId3"/>
    <sheet name="SPCN" sheetId="4" r:id="rId4"/>
    <sheet name="TMBL" sheetId="5" r:id="rId5"/>
    <sheet name="XNK" sheetId="6" r:id="rId6"/>
    <sheet name="chisogia" sheetId="7" r:id="rId7"/>
    <sheet name="00000000" sheetId="8" state="veryHidden" r:id="rId8"/>
    <sheet name="10000000" sheetId="9" state="veryHidden" r:id="rId9"/>
    <sheet name="20000000" sheetId="10" state="veryHidden" r:id="rId10"/>
    <sheet name="30000000" sheetId="11" state="veryHidden" r:id="rId11"/>
  </sheets>
  <externalReferences>
    <externalReference r:id="rId14"/>
    <externalReference r:id="rId15"/>
    <externalReference r:id="rId16"/>
  </externalReferences>
  <definedNames>
    <definedName name="_xlnm.Print_Titles" localSheetId="2">'IIP'!$4:$6</definedName>
    <definedName name="_xlnm.Print_Titles" localSheetId="3">'SPCN'!$4:$6</definedName>
    <definedName name="_xlnm.Print_Titles" localSheetId="5">'XNK'!$4:$7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<sst xmlns="http://schemas.openxmlformats.org/spreadsheetml/2006/main" count="370" uniqueCount="219">
  <si>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</si>
  <si>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</si>
  <si>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</si>
  <si>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</si>
  <si>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</si>
  <si>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</si>
  <si>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</si>
  <si>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</si>
  <si>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</si>
  <si>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</si>
  <si>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</si>
  <si>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</si>
  <si>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</si>
  <si>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</si>
  <si>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</si>
  <si>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</si>
  <si>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</si>
  <si>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</si>
  <si>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</si>
  <si>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</si>
  <si>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</si>
  <si>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</si>
  <si>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</si>
  <si>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</si>
  <si>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</si>
  <si>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</si>
  <si>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</si>
  <si>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</si>
  <si>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</si>
  <si>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</si>
  <si>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</si>
  <si>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</si>
  <si>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</si>
  <si>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</si>
  <si>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</si>
  <si>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</si>
  <si>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</si>
  <si>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</si>
  <si>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</si>
  <si>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</si>
  <si>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</si>
  <si>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</si>
  <si>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</si>
  <si>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</si>
  <si>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</si>
  <si>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</si>
  <si>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</si>
  <si>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</si>
  <si>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</si>
  <si>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</si>
  <si>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</si>
  <si>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</si>
  <si>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</si>
  <si>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</si>
  <si>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</si>
  <si>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</si>
  <si>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</si>
  <si>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</si>
  <si>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</si>
  <si>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</si>
  <si>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</si>
  <si>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</si>
  <si>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</si>
  <si>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</si>
  <si>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</si>
  <si>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</si>
  <si>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</si>
  <si>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</si>
  <si>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</si>
  <si>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</si>
  <si>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</si>
  <si>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</si>
  <si>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</si>
  <si>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ĐVT:%</t>
  </si>
  <si>
    <t>Tháng trước</t>
  </si>
  <si>
    <t>Tháng cùng kỳ năm trước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</si>
  <si>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</si>
  <si>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</si>
  <si>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</si>
  <si>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</si>
  <si>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</si>
  <si>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</si>
  <si>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</si>
  <si>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</si>
  <si>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</si>
  <si>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</si>
  <si>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</si>
  <si>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</si>
  <si>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</si>
  <si>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</si>
  <si>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</si>
  <si>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</si>
  <si>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</si>
  <si>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</si>
  <si>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</si>
  <si>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</si>
  <si>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</si>
  <si>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</si>
  <si>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</si>
  <si>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Thức ăn gia súc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</si>
  <si>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</si>
  <si>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</si>
  <si>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</si>
  <si>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</si>
  <si>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</si>
  <si>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</si>
  <si>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BIỂU CHỈ SỐ SẢN XUẤT CÔNG NGHIỆP (IIP) CỦA TỈNH THÁNG 11/2014</t>
  </si>
  <si>
    <t>BIỂU GIÁ TRỊ SẢN XUẤT CÔNG NGHIỆP THÁNG 11/2014</t>
  </si>
  <si>
    <t>Tháng 10/2014 so với cùng kỳ</t>
  </si>
  <si>
    <t>Tháng 11/2014 so với</t>
  </si>
  <si>
    <t>Lũy kế 11 tháng 2014 so CK</t>
  </si>
  <si>
    <t>Ước 11 tháng 2014</t>
  </si>
  <si>
    <t>Chính thức 11 tháng 2013</t>
  </si>
  <si>
    <t>11 tháng 2014 so với CK</t>
  </si>
  <si>
    <t>Năm 2014</t>
  </si>
  <si>
    <t>1000 chiếc</t>
  </si>
  <si>
    <t>ĐVT: Tỷ đồng</t>
  </si>
  <si>
    <t>Ghi chú: KH năm 2014, chỉ số sản xuất công nghiệp tăng 7,5%-7,7% so năm 2013.</t>
  </si>
  <si>
    <t xml:space="preserve">Ghi chú: KH năm 2014, GTSXCN của tỉnh (giá ss 2010) đạt khoảng 569.300- 574.500 tỷ đồng, tăng 13-14% so năm 2013. </t>
  </si>
  <si>
    <t xml:space="preserve">                                      GTSXCN (giá ss 1994) đạt khoảng 181.900- 183.500 tỷ đồng, tăng 13,5-14,5%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</si>
  <si>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</si>
  <si>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</si>
  <si>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</si>
  <si>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</si>
  <si>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</si>
  <si>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</si>
  <si>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</si>
  <si>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Mặt hàng xuất khẩu</t>
  </si>
  <si>
    <t>Hạt điều nhân</t>
  </si>
  <si>
    <t>Lũy kế 12 tháng 2014 so CK</t>
  </si>
  <si>
    <t>C/thức 12 tháng 2013</t>
  </si>
  <si>
    <t>Tháng 12/014 so CKỳ</t>
  </si>
  <si>
    <t>Ch/thức tháng 12/2013</t>
  </si>
  <si>
    <t>Kế hoạch năm 2015</t>
  </si>
  <si>
    <t>Ghi chú: KH năm 2015, chỉ số sản xuất công nghiệp tăng 7,5-8,0%  so năm 2014.</t>
  </si>
  <si>
    <t>Ghi chú: KH năm 2015, Kim ngạch xuất khẩu toàn tỉnh đạt khoảng 14,3- 14,6 tỷ USD, tăng từ 10- 12% so năm 2014</t>
  </si>
  <si>
    <t>Kim ngạch nhập khẩu toàn tỉnh đạt khoảng 13,8- 13,9 tỷ USD, tăng từ 10- 11% so năm 2014.</t>
  </si>
  <si>
    <t>T1/2014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</si>
  <si>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</si>
  <si>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</si>
  <si>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</si>
  <si>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</si>
  <si>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</si>
  <si>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</si>
  <si>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</si>
  <si>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</si>
  <si>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</si>
  <si>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T1/2015 so T12/2014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</si>
  <si>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</si>
  <si>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</si>
  <si>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</si>
  <si>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</si>
  <si>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</si>
  <si>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</si>
  <si>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</si>
  <si>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</si>
  <si>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</si>
  <si>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</si>
  <si>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</si>
  <si>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</si>
  <si>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ĐVT: %</t>
  </si>
  <si>
    <t>Ghi chú: KH năm 2015, TMBL hàng hóa, dịch vụ của tỉnh đạt khoảng 123.400 - 124.550 tỷ đồng, tăng 12-13% so năm 2014.</t>
  </si>
  <si>
    <t>2 tháng 2014</t>
  </si>
  <si>
    <t>Ô tô nguyên chiếc các loại</t>
  </si>
  <si>
    <t>BIỂU CHỈ SỐ SẢN XUẤT CÔNG NGHIỆP (IIP) CỦA TỈNH THÁNG 3/2015</t>
  </si>
  <si>
    <t>Tháng 02/2015 so với cùng kỳ</t>
  </si>
  <si>
    <t>Tháng 03/2015 so với</t>
  </si>
  <si>
    <t>03 tháng 2015 so với cùng kỳ</t>
  </si>
  <si>
    <t>BIỂU CHỈ SỐ GIÁ CẢ HÀNG HÓA, DỊCH VỤ THÁNG 3/2015</t>
  </si>
  <si>
    <t>Chỉ số giá tháng 3/2015 so với (%)</t>
  </si>
  <si>
    <t>BIỂU TỔNG MỨC BÁN LẺ HÀNG HÓA, DOANH THU DỊCH VỤ THÁNG 3/2015</t>
  </si>
  <si>
    <t>Chính thức tháng 02/2015</t>
  </si>
  <si>
    <t>Ước tính tháng 03/2015</t>
  </si>
  <si>
    <t>Ước tính quý I/2015</t>
  </si>
  <si>
    <t>Chính thức  quý I/2014</t>
  </si>
  <si>
    <t>Tháng 03/2015 so tháng trước</t>
  </si>
  <si>
    <t>Ước quý I/2015 so kế hoạch</t>
  </si>
  <si>
    <t>Ước quý I/2015 so cùng kỳ</t>
  </si>
  <si>
    <t>Ch/thức tháng 02/2015</t>
  </si>
  <si>
    <t>Ước tháng 03/2015</t>
  </si>
  <si>
    <t>Ước quý I/2015</t>
  </si>
  <si>
    <t>Quý I/2015 so CKỳ</t>
  </si>
  <si>
    <t>Tháng 03/2015 so tháng 02/2015</t>
  </si>
  <si>
    <t>Đá xây dựng các loại</t>
  </si>
  <si>
    <r>
      <t>1000 m</t>
    </r>
    <r>
      <rPr>
        <vertAlign val="superscript"/>
        <sz val="9"/>
        <rFont val="Times New Roman"/>
        <family val="1"/>
      </rPr>
      <t>3</t>
    </r>
  </si>
  <si>
    <t>Cà phê các loại</t>
  </si>
  <si>
    <t>Bột ngọt</t>
  </si>
  <si>
    <t>1000 tấn</t>
  </si>
  <si>
    <t>Thức ăn gia súc, gia cầm, thủy sản</t>
  </si>
  <si>
    <t>Thuốc lá sợi</t>
  </si>
  <si>
    <t>Sợi các loại</t>
  </si>
  <si>
    <r>
      <t>Tr.m</t>
    </r>
    <r>
      <rPr>
        <vertAlign val="superscript"/>
        <sz val="9"/>
        <color indexed="8"/>
        <rFont val="Times New Roman"/>
        <family val="1"/>
      </rPr>
      <t>2</t>
    </r>
  </si>
  <si>
    <t>Quần áo các loại (trừ quần áo thể thao)</t>
  </si>
  <si>
    <t>Tr.cái</t>
  </si>
  <si>
    <t>Giày dép các loại</t>
  </si>
  <si>
    <t>1000 đôi</t>
  </si>
  <si>
    <t>Giấy và bìa các loại</t>
  </si>
  <si>
    <t>Thuốc bảo vệ thực vật</t>
  </si>
  <si>
    <t>Sơn các loại</t>
  </si>
  <si>
    <t>Sữa tắm, sữa rửa mặt và các chế phẩm dùng để tắm khác</t>
  </si>
  <si>
    <t>Bột giặt và các chế phẩm dùng để tẩy rửa</t>
  </si>
  <si>
    <t>Bao bì các loại</t>
  </si>
  <si>
    <t>Bê tông trộn sẵn (bê tông tươi)</t>
  </si>
  <si>
    <r>
      <t>1000 m</t>
    </r>
    <r>
      <rPr>
        <vertAlign val="superscript"/>
        <sz val="9"/>
        <color indexed="8"/>
        <rFont val="Times New Roman"/>
        <family val="1"/>
      </rPr>
      <t>3</t>
    </r>
  </si>
  <si>
    <t>Máy giặt</t>
  </si>
  <si>
    <t>1000 cái</t>
  </si>
  <si>
    <t>Giường, tủ, bàn ghế</t>
  </si>
  <si>
    <t>Điện</t>
  </si>
  <si>
    <t>Triệu Kwh</t>
  </si>
  <si>
    <t>Nước uống</t>
  </si>
  <si>
    <r>
      <t>Tr.m</t>
    </r>
    <r>
      <rPr>
        <vertAlign val="superscript"/>
        <sz val="9"/>
        <color indexed="8"/>
        <rFont val="Times New Roman"/>
        <family val="1"/>
      </rPr>
      <t>3</t>
    </r>
  </si>
  <si>
    <t>BIỂU KIM NGẠCH XUẤT KHẨU, NHẬP KHẨU TRÊN ĐỊA BÀN THÁNG 3/2015</t>
  </si>
  <si>
    <t>BIỂU SẢN PHẨM CHỦ YẾU NGÀNH CÔNG NGHIỆP THÁNG 3/2015</t>
  </si>
  <si>
    <t>Năm 2015</t>
  </si>
  <si>
    <t>Tháng 03/2014</t>
  </si>
  <si>
    <t>Quý I/2014</t>
  </si>
  <si>
    <t>T03/2015 so T02/2015</t>
  </si>
  <si>
    <t>Tháng 03/2015 so CK</t>
  </si>
  <si>
    <t>Quý I/2015 so CK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</si>
</sst>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  <numFmt numFmtId="216" formatCode="#,##0.0000;[Red]#,##0.0000"/>
    <numFmt numFmtId="217" formatCode="#,##0.00000;[Red]#,##0.00000"/>
    <numFmt numFmtId="218" formatCode="#,##0.000000;[Red]#,##0.000000"/>
    <numFmt numFmtId="219" formatCode="_-* #,##0.000\ _₫_-;\-* #,##0.000\ _₫_-;_-* &quot;-&quot;??\ _₫_-;_-@_-"/>
    <numFmt numFmtId="220" formatCode="_-* #,##0.0000\ _₫_-;\-* #,##0.0000\ _₫_-;_-* &quot;-&quot;??\ _₫_-;_-@_-"/>
  </numFmts>
  <fonts count="98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color indexed="8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3"/>
      <color indexed="10"/>
      <name val="Times New Roman"/>
      <family val="1"/>
    </font>
    <font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30"/>
      <name val="Times New Roman"/>
      <family val="1"/>
    </font>
    <font>
      <sz val="9"/>
      <color indexed="30"/>
      <name val="Times New Roman"/>
      <family val="1"/>
    </font>
    <font>
      <sz val="12"/>
      <color indexed="10"/>
      <name val="Times New Roman"/>
      <family val="1"/>
    </font>
    <font>
      <sz val="9"/>
      <name val="Cambria"/>
      <family val="1"/>
    </font>
    <font>
      <sz val="9"/>
      <color indexed="8"/>
      <name val="Cambria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9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0070C0"/>
      <name val="Times New Roman"/>
      <family val="1"/>
    </font>
    <font>
      <sz val="9"/>
      <color rgb="FF0070C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8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82" fillId="27" borderId="10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85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17" fillId="0" borderId="17" xfId="0" applyFont="1" applyBorder="1" applyAlignment="1">
      <alignment horizontal="centerContinuous"/>
    </xf>
    <xf numFmtId="0" fontId="19" fillId="34" borderId="15" xfId="0" applyFont="1" applyFill="1" applyBorder="1" applyAlignment="1" applyProtection="1">
      <alignment horizontal="center" vertical="center" wrapText="1"/>
      <protection/>
    </xf>
    <xf numFmtId="0" fontId="19" fillId="34" borderId="15" xfId="0" applyFont="1" applyFill="1" applyBorder="1" applyAlignment="1" applyProtection="1">
      <alignment horizontal="center" vertical="center"/>
      <protection/>
    </xf>
    <xf numFmtId="0" fontId="20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12" fillId="0" borderId="19" xfId="0" applyFont="1" applyBorder="1" applyAlignment="1">
      <alignment/>
    </xf>
    <xf numFmtId="0" fontId="0" fillId="0" borderId="0" xfId="0" applyFont="1" applyAlignment="1">
      <alignment/>
    </xf>
    <xf numFmtId="3" fontId="22" fillId="0" borderId="14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3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19" fillId="34" borderId="20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>
      <alignment horizontal="centerContinuous"/>
    </xf>
    <xf numFmtId="0" fontId="17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86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2" fontId="9" fillId="0" borderId="14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21" xfId="0" applyNumberFormat="1" applyFont="1" applyBorder="1" applyAlignment="1" applyProtection="1">
      <alignment horizontal="right" vertical="center"/>
      <protection/>
    </xf>
    <xf numFmtId="37" fontId="6" fillId="0" borderId="22" xfId="0" applyNumberFormat="1" applyFont="1" applyBorder="1" applyAlignment="1" applyProtection="1">
      <alignment horizontal="right" vertical="center"/>
      <protection/>
    </xf>
    <xf numFmtId="2" fontId="9" fillId="0" borderId="21" xfId="0" applyNumberFormat="1" applyFont="1" applyBorder="1" applyAlignment="1" applyProtection="1">
      <alignment horizontal="right" vertical="center"/>
      <protection/>
    </xf>
    <xf numFmtId="2" fontId="6" fillId="0" borderId="21" xfId="0" applyNumberFormat="1" applyFont="1" applyBorder="1" applyAlignment="1" applyProtection="1">
      <alignment horizontal="right" vertical="center"/>
      <protection/>
    </xf>
    <xf numFmtId="2" fontId="6" fillId="0" borderId="23" xfId="0" applyNumberFormat="1" applyFont="1" applyBorder="1" applyAlignment="1" applyProtection="1">
      <alignment horizontal="right" vertical="center"/>
      <protection/>
    </xf>
    <xf numFmtId="0" fontId="19" fillId="34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22" fillId="0" borderId="26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4" fillId="0" borderId="12" xfId="0" applyFont="1" applyFill="1" applyBorder="1" applyAlignment="1" quotePrefix="1">
      <alignment wrapText="1"/>
    </xf>
    <xf numFmtId="0" fontId="14" fillId="0" borderId="12" xfId="0" applyFont="1" applyBorder="1" applyAlignment="1" quotePrefix="1">
      <alignment wrapText="1"/>
    </xf>
    <xf numFmtId="0" fontId="10" fillId="0" borderId="12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194" fontId="17" fillId="0" borderId="12" xfId="43" applyNumberFormat="1" applyFont="1" applyBorder="1" applyAlignment="1">
      <alignment/>
    </xf>
    <xf numFmtId="194" fontId="18" fillId="0" borderId="12" xfId="43" applyNumberFormat="1" applyFont="1" applyFill="1" applyBorder="1" applyAlignment="1">
      <alignment/>
    </xf>
    <xf numFmtId="194" fontId="18" fillId="0" borderId="12" xfId="43" applyNumberFormat="1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2" fontId="9" fillId="0" borderId="26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 horizontal="right"/>
      <protection/>
    </xf>
    <xf numFmtId="2" fontId="9" fillId="0" borderId="27" xfId="0" applyNumberFormat="1" applyFont="1" applyBorder="1" applyAlignment="1" applyProtection="1">
      <alignment horizontal="right" vertical="center"/>
      <protection/>
    </xf>
    <xf numFmtId="2" fontId="6" fillId="0" borderId="28" xfId="0" applyNumberFormat="1" applyFont="1" applyBorder="1" applyAlignment="1" applyProtection="1">
      <alignment horizontal="right" vertical="center"/>
      <protection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181" fontId="9" fillId="0" borderId="14" xfId="0" applyNumberFormat="1" applyFont="1" applyBorder="1" applyAlignment="1" applyProtection="1">
      <alignment horizontal="right" vertical="center" wrapText="1"/>
      <protection/>
    </xf>
    <xf numFmtId="181" fontId="6" fillId="0" borderId="12" xfId="0" applyNumberFormat="1" applyFont="1" applyBorder="1" applyAlignment="1" applyProtection="1">
      <alignment horizontal="right" vertical="center" wrapText="1"/>
      <protection/>
    </xf>
    <xf numFmtId="181" fontId="6" fillId="0" borderId="13" xfId="0" applyNumberFormat="1" applyFont="1" applyBorder="1" applyAlignment="1" applyProtection="1">
      <alignment horizontal="right" vertical="center" wrapText="1"/>
      <protection/>
    </xf>
    <xf numFmtId="37" fontId="6" fillId="0" borderId="23" xfId="0" applyNumberFormat="1" applyFont="1" applyBorder="1" applyAlignment="1" applyProtection="1">
      <alignment horizontal="right" vertical="center"/>
      <protection/>
    </xf>
    <xf numFmtId="2" fontId="6" fillId="0" borderId="29" xfId="0" applyNumberFormat="1" applyFont="1" applyBorder="1" applyAlignment="1" applyProtection="1">
      <alignment horizontal="right" vertical="center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193" fontId="6" fillId="0" borderId="12" xfId="0" applyNumberFormat="1" applyFont="1" applyBorder="1" applyAlignment="1" applyProtection="1">
      <alignment horizontal="right" vertical="center" wrapText="1"/>
      <protection/>
    </xf>
    <xf numFmtId="193" fontId="6" fillId="0" borderId="12" xfId="43" applyNumberFormat="1" applyFont="1" applyBorder="1" applyAlignment="1" applyProtection="1">
      <alignment horizontal="right" vertical="center" wrapText="1"/>
      <protection/>
    </xf>
    <xf numFmtId="193" fontId="9" fillId="0" borderId="12" xfId="43" applyNumberFormat="1" applyFont="1" applyBorder="1" applyAlignment="1" applyProtection="1">
      <alignment horizontal="right" vertical="center" wrapText="1"/>
      <protection/>
    </xf>
    <xf numFmtId="0" fontId="28" fillId="0" borderId="0" xfId="0" applyFont="1" applyAlignment="1">
      <alignment/>
    </xf>
    <xf numFmtId="0" fontId="28" fillId="0" borderId="0" xfId="0" applyFont="1" applyAlignment="1" applyProtection="1">
      <alignment vertical="center"/>
      <protection/>
    </xf>
    <xf numFmtId="0" fontId="28" fillId="0" borderId="30" xfId="0" applyFont="1" applyFill="1" applyBorder="1" applyAlignment="1">
      <alignment/>
    </xf>
    <xf numFmtId="0" fontId="18" fillId="33" borderId="12" xfId="0" applyFont="1" applyFill="1" applyBorder="1" applyAlignment="1">
      <alignment horizontal="left" vertical="center"/>
    </xf>
    <xf numFmtId="2" fontId="18" fillId="33" borderId="12" xfId="0" applyNumberFormat="1" applyFont="1" applyFill="1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18" fillId="0" borderId="12" xfId="0" applyFont="1" applyFill="1" applyBorder="1" applyAlignment="1" quotePrefix="1">
      <alignment wrapText="1"/>
    </xf>
    <xf numFmtId="0" fontId="18" fillId="0" borderId="12" xfId="0" applyFont="1" applyBorder="1" applyAlignment="1" quotePrefix="1">
      <alignment wrapText="1"/>
    </xf>
    <xf numFmtId="0" fontId="30" fillId="0" borderId="12" xfId="0" applyFont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2" fontId="31" fillId="33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/>
    </xf>
    <xf numFmtId="0" fontId="30" fillId="0" borderId="25" xfId="0" applyFont="1" applyBorder="1" applyAlignment="1">
      <alignment horizontal="center"/>
    </xf>
    <xf numFmtId="183" fontId="31" fillId="33" borderId="12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181" fontId="24" fillId="0" borderId="12" xfId="0" applyNumberFormat="1" applyFont="1" applyBorder="1" applyAlignment="1">
      <alignment/>
    </xf>
    <xf numFmtId="0" fontId="24" fillId="0" borderId="12" xfId="0" applyFont="1" applyFill="1" applyBorder="1" applyAlignment="1">
      <alignment/>
    </xf>
    <xf numFmtId="198" fontId="24" fillId="0" borderId="12" xfId="43" applyNumberFormat="1" applyFont="1" applyBorder="1" applyAlignment="1">
      <alignment/>
    </xf>
    <xf numFmtId="194" fontId="24" fillId="0" borderId="12" xfId="43" applyNumberFormat="1" applyFont="1" applyBorder="1" applyAlignment="1">
      <alignment/>
    </xf>
    <xf numFmtId="194" fontId="24" fillId="33" borderId="12" xfId="43" applyNumberFormat="1" applyFont="1" applyFill="1" applyBorder="1" applyAlignment="1">
      <alignment horizontal="right" vertical="center"/>
    </xf>
    <xf numFmtId="194" fontId="24" fillId="33" borderId="12" xfId="43" applyNumberFormat="1" applyFont="1" applyFill="1" applyBorder="1" applyAlignment="1">
      <alignment horizontal="center" vertical="center"/>
    </xf>
    <xf numFmtId="194" fontId="24" fillId="0" borderId="12" xfId="43" applyNumberFormat="1" applyFont="1" applyFill="1" applyBorder="1" applyAlignment="1">
      <alignment/>
    </xf>
    <xf numFmtId="201" fontId="29" fillId="33" borderId="12" xfId="0" applyNumberFormat="1" applyFont="1" applyFill="1" applyBorder="1" applyAlignment="1">
      <alignment horizontal="right"/>
    </xf>
    <xf numFmtId="198" fontId="29" fillId="33" borderId="12" xfId="43" applyNumberFormat="1" applyFont="1" applyFill="1" applyBorder="1" applyAlignment="1">
      <alignment horizontal="right"/>
    </xf>
    <xf numFmtId="198" fontId="24" fillId="0" borderId="12" xfId="43" applyNumberFormat="1" applyFont="1" applyFill="1" applyBorder="1" applyAlignment="1">
      <alignment horizontal="right"/>
    </xf>
    <xf numFmtId="194" fontId="24" fillId="0" borderId="12" xfId="43" applyNumberFormat="1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19" fillId="33" borderId="30" xfId="0" applyFont="1" applyFill="1" applyBorder="1" applyAlignment="1" applyProtection="1">
      <alignment horizontal="center" vertical="center" wrapText="1"/>
      <protection/>
    </xf>
    <xf numFmtId="0" fontId="19" fillId="33" borderId="32" xfId="0" applyFont="1" applyFill="1" applyBorder="1" applyAlignment="1" applyProtection="1">
      <alignment horizontal="center" vertical="center" wrapText="1"/>
      <protection/>
    </xf>
    <xf numFmtId="196" fontId="9" fillId="0" borderId="33" xfId="0" applyNumberFormat="1" applyFont="1" applyBorder="1" applyAlignment="1" applyProtection="1">
      <alignment horizontal="right" vertical="center"/>
      <protection/>
    </xf>
    <xf numFmtId="196" fontId="6" fillId="0" borderId="22" xfId="0" applyNumberFormat="1" applyFont="1" applyFill="1" applyBorder="1" applyAlignment="1" applyProtection="1">
      <alignment horizontal="right"/>
      <protection/>
    </xf>
    <xf numFmtId="196" fontId="6" fillId="0" borderId="22" xfId="0" applyNumberFormat="1" applyFont="1" applyBorder="1" applyAlignment="1" applyProtection="1">
      <alignment horizontal="right" vertical="center"/>
      <protection/>
    </xf>
    <xf numFmtId="196" fontId="6" fillId="0" borderId="23" xfId="0" applyNumberFormat="1" applyFont="1" applyBorder="1" applyAlignment="1" applyProtection="1">
      <alignment horizontal="right" vertical="center"/>
      <protection/>
    </xf>
    <xf numFmtId="196" fontId="6" fillId="0" borderId="0" xfId="0" applyNumberFormat="1" applyFont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39" fontId="56" fillId="0" borderId="14" xfId="0" applyNumberFormat="1" applyFont="1" applyFill="1" applyBorder="1" applyAlignment="1" applyProtection="1">
      <alignment horizontal="right" vertical="center"/>
      <protection/>
    </xf>
    <xf numFmtId="181" fontId="57" fillId="0" borderId="12" xfId="0" applyNumberFormat="1" applyFont="1" applyFill="1" applyBorder="1" applyAlignment="1" applyProtection="1">
      <alignment horizontal="right"/>
      <protection/>
    </xf>
    <xf numFmtId="39" fontId="57" fillId="0" borderId="12" xfId="0" applyNumberFormat="1" applyFont="1" applyFill="1" applyBorder="1" applyAlignment="1" applyProtection="1">
      <alignment horizontal="right" vertical="center"/>
      <protection/>
    </xf>
    <xf numFmtId="39" fontId="57" fillId="0" borderId="13" xfId="0" applyNumberFormat="1" applyFont="1" applyFill="1" applyBorder="1" applyAlignment="1" applyProtection="1">
      <alignment horizontal="right" vertical="center"/>
      <protection/>
    </xf>
    <xf numFmtId="0" fontId="87" fillId="0" borderId="0" xfId="0" applyFont="1" applyAlignment="1">
      <alignment/>
    </xf>
    <xf numFmtId="198" fontId="88" fillId="0" borderId="12" xfId="43" applyNumberFormat="1" applyFont="1" applyFill="1" applyBorder="1" applyAlignment="1">
      <alignment/>
    </xf>
    <xf numFmtId="194" fontId="88" fillId="0" borderId="12" xfId="43" applyNumberFormat="1" applyFont="1" applyBorder="1" applyAlignment="1">
      <alignment/>
    </xf>
    <xf numFmtId="194" fontId="88" fillId="33" borderId="12" xfId="43" applyNumberFormat="1" applyFont="1" applyFill="1" applyBorder="1" applyAlignment="1">
      <alignment horizontal="center" vertical="center"/>
    </xf>
    <xf numFmtId="194" fontId="88" fillId="0" borderId="12" xfId="43" applyNumberFormat="1" applyFont="1" applyFill="1" applyBorder="1" applyAlignment="1">
      <alignment/>
    </xf>
    <xf numFmtId="198" fontId="88" fillId="0" borderId="12" xfId="43" applyNumberFormat="1" applyFont="1" applyFill="1" applyBorder="1" applyAlignment="1">
      <alignment horizontal="right"/>
    </xf>
    <xf numFmtId="194" fontId="88" fillId="0" borderId="12" xfId="43" applyNumberFormat="1" applyFont="1" applyBorder="1" applyAlignment="1">
      <alignment horizontal="right"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200" fontId="2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200" fontId="18" fillId="0" borderId="0" xfId="0" applyNumberFormat="1" applyFont="1" applyAlignment="1">
      <alignment/>
    </xf>
    <xf numFmtId="181" fontId="18" fillId="0" borderId="0" xfId="0" applyNumberFormat="1" applyFont="1" applyAlignment="1">
      <alignment/>
    </xf>
    <xf numFmtId="0" fontId="18" fillId="0" borderId="0" xfId="0" applyFont="1" applyAlignment="1">
      <alignment vertical="center" wrapText="1"/>
    </xf>
    <xf numFmtId="203" fontId="18" fillId="0" borderId="0" xfId="0" applyNumberFormat="1" applyFont="1" applyAlignment="1">
      <alignment/>
    </xf>
    <xf numFmtId="209" fontId="18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207" fontId="18" fillId="0" borderId="0" xfId="0" applyNumberFormat="1" applyFont="1" applyAlignment="1">
      <alignment/>
    </xf>
    <xf numFmtId="208" fontId="18" fillId="0" borderId="0" xfId="0" applyNumberFormat="1" applyFont="1" applyAlignment="1">
      <alignment/>
    </xf>
    <xf numFmtId="198" fontId="90" fillId="33" borderId="12" xfId="43" applyNumberFormat="1" applyFont="1" applyFill="1" applyBorder="1" applyAlignment="1">
      <alignment/>
    </xf>
    <xf numFmtId="201" fontId="90" fillId="33" borderId="12" xfId="0" applyNumberFormat="1" applyFont="1" applyFill="1" applyBorder="1" applyAlignment="1">
      <alignment horizontal="right"/>
    </xf>
    <xf numFmtId="198" fontId="88" fillId="0" borderId="12" xfId="43" applyNumberFormat="1" applyFont="1" applyFill="1" applyBorder="1" applyAlignment="1" quotePrefix="1">
      <alignment horizontal="right"/>
    </xf>
    <xf numFmtId="201" fontId="29" fillId="0" borderId="12" xfId="43" applyNumberFormat="1" applyFont="1" applyBorder="1" applyAlignment="1">
      <alignment horizontal="right"/>
    </xf>
    <xf numFmtId="201" fontId="24" fillId="0" borderId="12" xfId="43" applyNumberFormat="1" applyFont="1" applyFill="1" applyBorder="1" applyAlignment="1">
      <alignment horizontal="right"/>
    </xf>
    <xf numFmtId="201" fontId="24" fillId="0" borderId="12" xfId="43" applyNumberFormat="1" applyFont="1" applyBorder="1" applyAlignment="1">
      <alignment horizontal="right"/>
    </xf>
    <xf numFmtId="201" fontId="24" fillId="0" borderId="12" xfId="43" applyNumberFormat="1" applyFont="1" applyFill="1" applyBorder="1" applyAlignment="1" quotePrefix="1">
      <alignment horizontal="right"/>
    </xf>
    <xf numFmtId="4" fontId="0" fillId="0" borderId="0" xfId="0" applyNumberFormat="1" applyAlignment="1">
      <alignment/>
    </xf>
    <xf numFmtId="0" fontId="18" fillId="0" borderId="0" xfId="0" applyFont="1" applyBorder="1" applyAlignment="1">
      <alignment vertical="center"/>
    </xf>
    <xf numFmtId="198" fontId="25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194" fontId="18" fillId="0" borderId="12" xfId="43" applyNumberFormat="1" applyFont="1" applyFill="1" applyBorder="1" applyAlignment="1">
      <alignment horizontal="center" vertical="center"/>
    </xf>
    <xf numFmtId="194" fontId="88" fillId="0" borderId="12" xfId="43" applyNumberFormat="1" applyFont="1" applyFill="1" applyBorder="1" applyAlignment="1">
      <alignment horizontal="center" vertical="center"/>
    </xf>
    <xf numFmtId="194" fontId="24" fillId="0" borderId="12" xfId="43" applyNumberFormat="1" applyFont="1" applyFill="1" applyBorder="1" applyAlignment="1">
      <alignment horizontal="center" vertical="center"/>
    </xf>
    <xf numFmtId="194" fontId="6" fillId="0" borderId="12" xfId="43" applyNumberFormat="1" applyFont="1" applyFill="1" applyBorder="1" applyAlignment="1">
      <alignment/>
    </xf>
    <xf numFmtId="207" fontId="18" fillId="0" borderId="0" xfId="0" applyNumberFormat="1" applyFont="1" applyFill="1" applyAlignment="1">
      <alignment/>
    </xf>
    <xf numFmtId="2" fontId="29" fillId="0" borderId="12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2" fontId="24" fillId="0" borderId="12" xfId="0" applyNumberFormat="1" applyFont="1" applyFill="1" applyBorder="1" applyAlignment="1">
      <alignment/>
    </xf>
    <xf numFmtId="2" fontId="24" fillId="33" borderId="12" xfId="0" applyNumberFormat="1" applyFont="1" applyFill="1" applyBorder="1" applyAlignment="1">
      <alignment horizontal="center" vertical="center"/>
    </xf>
    <xf numFmtId="2" fontId="29" fillId="33" borderId="12" xfId="0" applyNumberFormat="1" applyFont="1" applyFill="1" applyBorder="1" applyAlignment="1">
      <alignment horizontal="center" vertical="center"/>
    </xf>
    <xf numFmtId="2" fontId="24" fillId="0" borderId="13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/>
    </xf>
    <xf numFmtId="207" fontId="24" fillId="0" borderId="0" xfId="0" applyNumberFormat="1" applyFont="1" applyAlignment="1">
      <alignment/>
    </xf>
    <xf numFmtId="194" fontId="24" fillId="0" borderId="0" xfId="0" applyNumberFormat="1" applyFont="1" applyFill="1" applyAlignment="1">
      <alignment/>
    </xf>
    <xf numFmtId="179" fontId="18" fillId="0" borderId="0" xfId="43" applyFont="1" applyAlignment="1">
      <alignment/>
    </xf>
    <xf numFmtId="200" fontId="88" fillId="0" borderId="0" xfId="0" applyNumberFormat="1" applyFont="1" applyAlignment="1">
      <alignment/>
    </xf>
    <xf numFmtId="4" fontId="16" fillId="0" borderId="12" xfId="0" applyNumberFormat="1" applyFont="1" applyBorder="1" applyAlignment="1">
      <alignment horizontal="right" vertical="center"/>
    </xf>
    <xf numFmtId="194" fontId="18" fillId="0" borderId="12" xfId="43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/>
    </xf>
    <xf numFmtId="198" fontId="18" fillId="0" borderId="0" xfId="43" applyNumberFormat="1" applyFont="1" applyAlignment="1">
      <alignment/>
    </xf>
    <xf numFmtId="215" fontId="24" fillId="0" borderId="0" xfId="0" applyNumberFormat="1" applyFont="1" applyAlignment="1">
      <alignment/>
    </xf>
    <xf numFmtId="215" fontId="24" fillId="0" borderId="0" xfId="43" applyNumberFormat="1" applyFont="1" applyFill="1" applyAlignment="1">
      <alignment/>
    </xf>
    <xf numFmtId="0" fontId="22" fillId="0" borderId="26" xfId="0" applyFont="1" applyFill="1" applyBorder="1" applyAlignment="1">
      <alignment horizontal="left"/>
    </xf>
    <xf numFmtId="181" fontId="57" fillId="0" borderId="25" xfId="0" applyNumberFormat="1" applyFont="1" applyFill="1" applyBorder="1" applyAlignment="1" applyProtection="1">
      <alignment horizontal="right"/>
      <protection/>
    </xf>
    <xf numFmtId="2" fontId="14" fillId="0" borderId="12" xfId="0" applyNumberFormat="1" applyFont="1" applyBorder="1" applyAlignment="1" applyProtection="1">
      <alignment horizontal="right" vertical="center" wrapText="1"/>
      <protection/>
    </xf>
    <xf numFmtId="2" fontId="14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39" fontId="56" fillId="0" borderId="34" xfId="0" applyNumberFormat="1" applyFont="1" applyFill="1" applyBorder="1" applyAlignment="1" applyProtection="1">
      <alignment horizontal="right" vertical="center"/>
      <protection/>
    </xf>
    <xf numFmtId="4" fontId="14" fillId="0" borderId="35" xfId="0" applyNumberFormat="1" applyFont="1" applyBorder="1" applyAlignment="1">
      <alignment/>
    </xf>
    <xf numFmtId="4" fontId="14" fillId="0" borderId="36" xfId="0" applyNumberFormat="1" applyFont="1" applyBorder="1" applyAlignment="1">
      <alignment/>
    </xf>
    <xf numFmtId="179" fontId="91" fillId="0" borderId="14" xfId="43" applyFont="1" applyBorder="1" applyAlignment="1">
      <alignment/>
    </xf>
    <xf numFmtId="4" fontId="91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25" xfId="60" applyNumberFormat="1" applyFont="1" applyFill="1" applyBorder="1" applyAlignment="1">
      <alignment horizontal="right"/>
      <protection/>
    </xf>
    <xf numFmtId="4" fontId="10" fillId="0" borderId="12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2" fontId="92" fillId="0" borderId="12" xfId="0" applyNumberFormat="1" applyFont="1" applyBorder="1" applyAlignment="1">
      <alignment/>
    </xf>
    <xf numFmtId="4" fontId="14" fillId="0" borderId="12" xfId="60" applyNumberFormat="1" applyFont="1" applyBorder="1" applyAlignment="1">
      <alignment horizontal="right"/>
      <protection/>
    </xf>
    <xf numFmtId="4" fontId="14" fillId="0" borderId="18" xfId="0" applyNumberFormat="1" applyFont="1" applyBorder="1" applyAlignment="1">
      <alignment/>
    </xf>
    <xf numFmtId="4" fontId="92" fillId="0" borderId="12" xfId="0" applyNumberFormat="1" applyFont="1" applyBorder="1" applyAlignment="1">
      <alignment/>
    </xf>
    <xf numFmtId="4" fontId="14" fillId="0" borderId="25" xfId="60" applyNumberFormat="1" applyFont="1" applyFill="1" applyBorder="1" applyAlignment="1">
      <alignment horizontal="right"/>
      <protection/>
    </xf>
    <xf numFmtId="195" fontId="14" fillId="0" borderId="25" xfId="60" applyNumberFormat="1" applyFont="1" applyFill="1" applyBorder="1" applyAlignment="1">
      <alignment horizontal="right"/>
      <protection/>
    </xf>
    <xf numFmtId="4" fontId="14" fillId="0" borderId="13" xfId="60" applyNumberFormat="1" applyFont="1" applyFill="1" applyBorder="1" applyAlignment="1">
      <alignment horizontal="right"/>
      <protection/>
    </xf>
    <xf numFmtId="4" fontId="14" fillId="0" borderId="19" xfId="0" applyNumberFormat="1" applyFont="1" applyBorder="1" applyAlignment="1">
      <alignment/>
    </xf>
    <xf numFmtId="2" fontId="18" fillId="0" borderId="12" xfId="0" applyNumberFormat="1" applyFont="1" applyFill="1" applyBorder="1" applyAlignment="1">
      <alignment horizontal="left" vertical="center"/>
    </xf>
    <xf numFmtId="2" fontId="31" fillId="0" borderId="12" xfId="0" applyNumberFormat="1" applyFont="1" applyFill="1" applyBorder="1" applyAlignment="1">
      <alignment horizontal="center" vertical="center"/>
    </xf>
    <xf numFmtId="194" fontId="24" fillId="0" borderId="12" xfId="43" applyNumberFormat="1" applyFont="1" applyFill="1" applyBorder="1" applyAlignment="1">
      <alignment horizontal="right" vertical="center"/>
    </xf>
    <xf numFmtId="194" fontId="18" fillId="0" borderId="12" xfId="43" applyNumberFormat="1" applyFont="1" applyFill="1" applyBorder="1" applyAlignment="1">
      <alignment horizontal="right" vertical="center"/>
    </xf>
    <xf numFmtId="207" fontId="24" fillId="0" borderId="0" xfId="0" applyNumberFormat="1" applyFont="1" applyFill="1" applyAlignment="1">
      <alignment/>
    </xf>
    <xf numFmtId="206" fontId="18" fillId="0" borderId="0" xfId="0" applyNumberFormat="1" applyFont="1" applyFill="1" applyAlignment="1">
      <alignment/>
    </xf>
    <xf numFmtId="209" fontId="18" fillId="0" borderId="0" xfId="0" applyNumberFormat="1" applyFont="1" applyFill="1" applyAlignment="1">
      <alignment/>
    </xf>
    <xf numFmtId="203" fontId="18" fillId="0" borderId="0" xfId="0" applyNumberFormat="1" applyFont="1" applyFill="1" applyAlignment="1">
      <alignment/>
    </xf>
    <xf numFmtId="181" fontId="18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18" fillId="0" borderId="12" xfId="0" applyFont="1" applyFill="1" applyBorder="1" applyAlignment="1">
      <alignment horizontal="left" vertical="center"/>
    </xf>
    <xf numFmtId="194" fontId="17" fillId="0" borderId="12" xfId="43" applyNumberFormat="1" applyFont="1" applyFill="1" applyBorder="1" applyAlignment="1">
      <alignment horizontal="right" vertical="center"/>
    </xf>
    <xf numFmtId="2" fontId="24" fillId="0" borderId="12" xfId="0" applyNumberFormat="1" applyFont="1" applyFill="1" applyBorder="1" applyAlignment="1">
      <alignment horizontal="center" vertical="center"/>
    </xf>
    <xf numFmtId="2" fontId="24" fillId="0" borderId="12" xfId="43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194" fontId="18" fillId="0" borderId="12" xfId="43" applyNumberFormat="1" applyFont="1" applyFill="1" applyBorder="1" applyAlignment="1">
      <alignment/>
    </xf>
    <xf numFmtId="194" fontId="17" fillId="0" borderId="12" xfId="43" applyNumberFormat="1" applyFont="1" applyFill="1" applyBorder="1" applyAlignment="1">
      <alignment horizontal="right" vertical="center"/>
    </xf>
    <xf numFmtId="2" fontId="18" fillId="0" borderId="12" xfId="0" applyNumberFormat="1" applyFont="1" applyFill="1" applyBorder="1" applyAlignment="1">
      <alignment vertical="center"/>
    </xf>
    <xf numFmtId="207" fontId="24" fillId="0" borderId="0" xfId="0" applyNumberFormat="1" applyFont="1" applyFill="1" applyAlignment="1">
      <alignment/>
    </xf>
    <xf numFmtId="206" fontId="18" fillId="0" borderId="0" xfId="0" applyNumberFormat="1" applyFont="1" applyFill="1" applyAlignment="1">
      <alignment/>
    </xf>
    <xf numFmtId="209" fontId="18" fillId="0" borderId="0" xfId="0" applyNumberFormat="1" applyFont="1" applyFill="1" applyAlignment="1">
      <alignment/>
    </xf>
    <xf numFmtId="181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4" fillId="0" borderId="25" xfId="0" applyFont="1" applyFill="1" applyBorder="1" applyAlignment="1">
      <alignment vertical="center"/>
    </xf>
    <xf numFmtId="0" fontId="33" fillId="0" borderId="25" xfId="0" applyFont="1" applyFill="1" applyBorder="1" applyAlignment="1">
      <alignment vertical="center"/>
    </xf>
    <xf numFmtId="198" fontId="26" fillId="0" borderId="12" xfId="43" applyNumberFormat="1" applyFont="1" applyFill="1" applyBorder="1" applyAlignment="1">
      <alignment vertical="center"/>
    </xf>
    <xf numFmtId="0" fontId="93" fillId="0" borderId="25" xfId="0" applyFont="1" applyFill="1" applyBorder="1" applyAlignment="1">
      <alignment vertical="center"/>
    </xf>
    <xf numFmtId="194" fontId="17" fillId="0" borderId="12" xfId="43" applyNumberFormat="1" applyFont="1" applyBorder="1" applyAlignment="1">
      <alignment vertical="center"/>
    </xf>
    <xf numFmtId="198" fontId="90" fillId="0" borderId="12" xfId="43" applyNumberFormat="1" applyFont="1" applyBorder="1" applyAlignment="1">
      <alignment vertical="center"/>
    </xf>
    <xf numFmtId="194" fontId="90" fillId="0" borderId="12" xfId="43" applyNumberFormat="1" applyFont="1" applyBorder="1" applyAlignment="1">
      <alignment vertical="center"/>
    </xf>
    <xf numFmtId="198" fontId="29" fillId="0" borderId="12" xfId="43" applyNumberFormat="1" applyFont="1" applyBorder="1" applyAlignment="1">
      <alignment vertical="center"/>
    </xf>
    <xf numFmtId="2" fontId="29" fillId="0" borderId="12" xfId="0" applyNumberFormat="1" applyFont="1" applyBorder="1" applyAlignment="1">
      <alignment vertical="center"/>
    </xf>
    <xf numFmtId="194" fontId="18" fillId="0" borderId="12" xfId="43" applyNumberFormat="1" applyFont="1" applyFill="1" applyBorder="1" applyAlignment="1">
      <alignment vertical="center"/>
    </xf>
    <xf numFmtId="198" fontId="88" fillId="0" borderId="12" xfId="43" applyNumberFormat="1" applyFont="1" applyFill="1" applyBorder="1" applyAlignment="1">
      <alignment vertical="center"/>
    </xf>
    <xf numFmtId="194" fontId="88" fillId="0" borderId="12" xfId="43" applyNumberFormat="1" applyFont="1" applyFill="1" applyBorder="1" applyAlignment="1">
      <alignment vertical="center"/>
    </xf>
    <xf numFmtId="198" fontId="24" fillId="0" borderId="12" xfId="43" applyNumberFormat="1" applyFont="1" applyFill="1" applyBorder="1" applyAlignment="1">
      <alignment vertical="center"/>
    </xf>
    <xf numFmtId="2" fontId="24" fillId="0" borderId="12" xfId="0" applyNumberFormat="1" applyFont="1" applyBorder="1" applyAlignment="1">
      <alignment vertical="center"/>
    </xf>
    <xf numFmtId="2" fontId="24" fillId="0" borderId="12" xfId="0" applyNumberFormat="1" applyFont="1" applyFill="1" applyBorder="1" applyAlignment="1">
      <alignment vertical="center"/>
    </xf>
    <xf numFmtId="194" fontId="18" fillId="0" borderId="12" xfId="43" applyNumberFormat="1" applyFont="1" applyBorder="1" applyAlignment="1">
      <alignment vertical="center"/>
    </xf>
    <xf numFmtId="194" fontId="94" fillId="0" borderId="12" xfId="43" applyNumberFormat="1" applyFont="1" applyBorder="1" applyAlignment="1">
      <alignment vertical="center"/>
    </xf>
    <xf numFmtId="194" fontId="88" fillId="0" borderId="12" xfId="43" applyNumberFormat="1" applyFont="1" applyBorder="1" applyAlignment="1">
      <alignment vertical="center"/>
    </xf>
    <xf numFmtId="194" fontId="24" fillId="0" borderId="12" xfId="43" applyNumberFormat="1" applyFont="1" applyBorder="1" applyAlignment="1">
      <alignment vertical="center"/>
    </xf>
    <xf numFmtId="2" fontId="95" fillId="0" borderId="12" xfId="0" applyNumberFormat="1" applyFont="1" applyBorder="1" applyAlignment="1">
      <alignment vertical="center"/>
    </xf>
    <xf numFmtId="198" fontId="88" fillId="0" borderId="12" xfId="43" applyNumberFormat="1" applyFont="1" applyBorder="1" applyAlignment="1">
      <alignment vertical="center"/>
    </xf>
    <xf numFmtId="198" fontId="24" fillId="0" borderId="12" xfId="43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198" fontId="17" fillId="0" borderId="12" xfId="43" applyNumberFormat="1" applyFont="1" applyBorder="1" applyAlignment="1">
      <alignment vertical="center"/>
    </xf>
    <xf numFmtId="198" fontId="18" fillId="0" borderId="12" xfId="43" applyNumberFormat="1" applyFont="1" applyFill="1" applyBorder="1" applyAlignment="1">
      <alignment vertical="center"/>
    </xf>
    <xf numFmtId="198" fontId="18" fillId="0" borderId="12" xfId="43" applyNumberFormat="1" applyFont="1" applyBorder="1" applyAlignment="1">
      <alignment vertical="center"/>
    </xf>
    <xf numFmtId="0" fontId="9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209" fontId="87" fillId="0" borderId="0" xfId="0" applyNumberFormat="1" applyFont="1" applyAlignment="1">
      <alignment/>
    </xf>
    <xf numFmtId="202" fontId="25" fillId="0" borderId="0" xfId="0" applyNumberFormat="1" applyFont="1" applyAlignment="1">
      <alignment/>
    </xf>
    <xf numFmtId="200" fontId="87" fillId="0" borderId="0" xfId="0" applyNumberFormat="1" applyFont="1" applyAlignment="1">
      <alignment/>
    </xf>
    <xf numFmtId="183" fontId="31" fillId="0" borderId="12" xfId="0" applyNumberFormat="1" applyFont="1" applyFill="1" applyBorder="1" applyAlignment="1">
      <alignment horizontal="center"/>
    </xf>
    <xf numFmtId="194" fontId="24" fillId="0" borderId="12" xfId="43" applyNumberFormat="1" applyFont="1" applyFill="1" applyBorder="1" applyAlignment="1" quotePrefix="1">
      <alignment horizontal="right"/>
    </xf>
    <xf numFmtId="179" fontId="24" fillId="0" borderId="12" xfId="43" applyFont="1" applyFill="1" applyBorder="1" applyAlignment="1">
      <alignment/>
    </xf>
    <xf numFmtId="181" fontId="24" fillId="0" borderId="12" xfId="0" applyNumberFormat="1" applyFont="1" applyFill="1" applyBorder="1" applyAlignment="1">
      <alignment horizontal="right"/>
    </xf>
    <xf numFmtId="0" fontId="87" fillId="0" borderId="0" xfId="0" applyFont="1" applyFill="1" applyAlignment="1">
      <alignment/>
    </xf>
    <xf numFmtId="183" fontId="18" fillId="0" borderId="12" xfId="0" applyNumberFormat="1" applyFont="1" applyFill="1" applyBorder="1" applyAlignment="1">
      <alignment/>
    </xf>
    <xf numFmtId="194" fontId="29" fillId="0" borderId="12" xfId="43" applyNumberFormat="1" applyFont="1" applyFill="1" applyBorder="1" applyAlignment="1">
      <alignment/>
    </xf>
    <xf numFmtId="179" fontId="29" fillId="0" borderId="12" xfId="43" applyFont="1" applyFill="1" applyBorder="1" applyAlignment="1">
      <alignment/>
    </xf>
    <xf numFmtId="2" fontId="18" fillId="0" borderId="12" xfId="0" applyNumberFormat="1" applyFont="1" applyFill="1" applyBorder="1" applyAlignment="1">
      <alignment horizontal="left" vertical="center" wrapText="1"/>
    </xf>
    <xf numFmtId="181" fontId="24" fillId="0" borderId="12" xfId="0" applyNumberFormat="1" applyFont="1" applyFill="1" applyBorder="1" applyAlignment="1">
      <alignment/>
    </xf>
    <xf numFmtId="183" fontId="18" fillId="0" borderId="13" xfId="0" applyNumberFormat="1" applyFont="1" applyFill="1" applyBorder="1" applyAlignment="1">
      <alignment/>
    </xf>
    <xf numFmtId="183" fontId="31" fillId="0" borderId="13" xfId="0" applyNumberFormat="1" applyFont="1" applyFill="1" applyBorder="1" applyAlignment="1">
      <alignment horizontal="center"/>
    </xf>
    <xf numFmtId="194" fontId="18" fillId="0" borderId="13" xfId="43" applyNumberFormat="1" applyFont="1" applyFill="1" applyBorder="1" applyAlignment="1">
      <alignment/>
    </xf>
    <xf numFmtId="194" fontId="18" fillId="0" borderId="13" xfId="43" applyNumberFormat="1" applyFont="1" applyFill="1" applyBorder="1" applyAlignment="1">
      <alignment/>
    </xf>
    <xf numFmtId="194" fontId="24" fillId="0" borderId="13" xfId="43" applyNumberFormat="1" applyFont="1" applyFill="1" applyBorder="1" applyAlignment="1" quotePrefix="1">
      <alignment horizontal="right"/>
    </xf>
    <xf numFmtId="194" fontId="24" fillId="0" borderId="13" xfId="43" applyNumberFormat="1" applyFont="1" applyFill="1" applyBorder="1" applyAlignment="1">
      <alignment/>
    </xf>
    <xf numFmtId="194" fontId="88" fillId="0" borderId="13" xfId="43" applyNumberFormat="1" applyFont="1" applyFill="1" applyBorder="1" applyAlignment="1">
      <alignment/>
    </xf>
    <xf numFmtId="181" fontId="24" fillId="0" borderId="13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2" fontId="25" fillId="0" borderId="0" xfId="0" applyNumberFormat="1" applyFont="1" applyAlignment="1">
      <alignment/>
    </xf>
    <xf numFmtId="2" fontId="14" fillId="0" borderId="12" xfId="0" applyNumberFormat="1" applyFont="1" applyFill="1" applyBorder="1" applyAlignment="1" applyProtection="1">
      <alignment horizontal="right" vertical="center" wrapText="1"/>
      <protection/>
    </xf>
    <xf numFmtId="39" fontId="56" fillId="0" borderId="33" xfId="0" applyNumberFormat="1" applyFont="1" applyFill="1" applyBorder="1" applyAlignment="1" applyProtection="1">
      <alignment horizontal="right" vertical="center"/>
      <protection/>
    </xf>
    <xf numFmtId="2" fontId="56" fillId="0" borderId="25" xfId="0" applyNumberFormat="1" applyFont="1" applyBorder="1" applyAlignment="1" applyProtection="1">
      <alignment horizontal="right" vertical="center" wrapText="1"/>
      <protection/>
    </xf>
    <xf numFmtId="198" fontId="94" fillId="0" borderId="12" xfId="43" applyNumberFormat="1" applyFont="1" applyBorder="1" applyAlignment="1">
      <alignment vertical="center"/>
    </xf>
    <xf numFmtId="220" fontId="25" fillId="0" borderId="0" xfId="0" applyNumberFormat="1" applyFont="1" applyAlignment="1">
      <alignment/>
    </xf>
    <xf numFmtId="2" fontId="29" fillId="0" borderId="12" xfId="0" applyNumberFormat="1" applyFont="1" applyBorder="1" applyAlignment="1">
      <alignment horizontal="right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26" fillId="0" borderId="0" xfId="0" applyFont="1" applyAlignment="1" applyProtection="1">
      <alignment horizontal="centerContinuous" vertical="center"/>
      <protection/>
    </xf>
    <xf numFmtId="0" fontId="33" fillId="0" borderId="0" xfId="0" applyFont="1" applyAlignment="1" applyProtection="1">
      <alignment horizontal="centerContinuous" vertical="center"/>
      <protection/>
    </xf>
    <xf numFmtId="0" fontId="35" fillId="33" borderId="20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194" fontId="24" fillId="0" borderId="12" xfId="43" applyNumberFormat="1" applyFont="1" applyBorder="1" applyAlignment="1" applyProtection="1">
      <alignment horizontal="left" vertical="center" wrapText="1"/>
      <protection/>
    </xf>
    <xf numFmtId="194" fontId="25" fillId="0" borderId="0" xfId="0" applyNumberFormat="1" applyFont="1" applyAlignment="1">
      <alignment/>
    </xf>
    <xf numFmtId="0" fontId="24" fillId="0" borderId="13" xfId="0" applyFont="1" applyBorder="1" applyAlignment="1" applyProtection="1">
      <alignment horizontal="center" vertical="center" wrapText="1"/>
      <protection/>
    </xf>
    <xf numFmtId="0" fontId="66" fillId="0" borderId="14" xfId="0" applyFont="1" applyBorder="1" applyAlignment="1">
      <alignment horizontal="justify" wrapText="1"/>
    </xf>
    <xf numFmtId="0" fontId="66" fillId="0" borderId="14" xfId="0" applyFont="1" applyBorder="1" applyAlignment="1">
      <alignment horizontal="center"/>
    </xf>
    <xf numFmtId="0" fontId="66" fillId="0" borderId="12" xfId="0" applyFont="1" applyBorder="1" applyAlignment="1">
      <alignment horizontal="justify" wrapText="1"/>
    </xf>
    <xf numFmtId="0" fontId="66" fillId="0" borderId="12" xfId="0" applyFont="1" applyBorder="1" applyAlignment="1">
      <alignment horizontal="center"/>
    </xf>
    <xf numFmtId="0" fontId="67" fillId="0" borderId="12" xfId="0" applyFont="1" applyBorder="1" applyAlignment="1">
      <alignment horizontal="justify" wrapText="1"/>
    </xf>
    <xf numFmtId="0" fontId="67" fillId="0" borderId="12" xfId="0" applyFont="1" applyBorder="1" applyAlignment="1">
      <alignment horizontal="center"/>
    </xf>
    <xf numFmtId="0" fontId="66" fillId="0" borderId="12" xfId="0" applyFont="1" applyBorder="1" applyAlignment="1" applyProtection="1">
      <alignment horizontal="left" vertical="top"/>
      <protection/>
    </xf>
    <xf numFmtId="0" fontId="67" fillId="0" borderId="13" xfId="0" applyFont="1" applyBorder="1" applyAlignment="1">
      <alignment horizontal="justify" wrapText="1"/>
    </xf>
    <xf numFmtId="0" fontId="67" fillId="0" borderId="13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 vertical="top"/>
      <protection/>
    </xf>
    <xf numFmtId="194" fontId="24" fillId="0" borderId="0" xfId="43" applyNumberFormat="1" applyFont="1" applyBorder="1" applyAlignment="1" applyProtection="1">
      <alignment horizontal="left" vertical="center" wrapText="1"/>
      <protection/>
    </xf>
    <xf numFmtId="196" fontId="24" fillId="0" borderId="0" xfId="0" applyNumberFormat="1" applyFont="1" applyBorder="1" applyAlignment="1" applyProtection="1">
      <alignment horizontal="right" vertical="center"/>
      <protection/>
    </xf>
    <xf numFmtId="0" fontId="25" fillId="0" borderId="0" xfId="0" applyFont="1" applyBorder="1" applyAlignment="1">
      <alignment/>
    </xf>
    <xf numFmtId="0" fontId="36" fillId="0" borderId="0" xfId="0" applyFont="1" applyBorder="1" applyAlignment="1">
      <alignment horizontal="justify" wrapText="1"/>
    </xf>
    <xf numFmtId="0" fontId="36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justify" vertical="center" wrapText="1"/>
      <protection/>
    </xf>
    <xf numFmtId="194" fontId="25" fillId="0" borderId="0" xfId="0" applyNumberFormat="1" applyFont="1" applyBorder="1" applyAlignment="1">
      <alignment/>
    </xf>
    <xf numFmtId="198" fontId="24" fillId="0" borderId="14" xfId="43" applyNumberFormat="1" applyFont="1" applyBorder="1" applyAlignment="1" applyProtection="1">
      <alignment horizontal="left" vertical="center" wrapText="1"/>
      <protection/>
    </xf>
    <xf numFmtId="198" fontId="24" fillId="0" borderId="12" xfId="43" applyNumberFormat="1" applyFont="1" applyBorder="1" applyAlignment="1" applyProtection="1">
      <alignment horizontal="left" vertical="center" wrapText="1"/>
      <protection/>
    </xf>
    <xf numFmtId="198" fontId="24" fillId="0" borderId="13" xfId="43" applyNumberFormat="1" applyFont="1" applyBorder="1" applyAlignment="1" applyProtection="1">
      <alignment horizontal="left" vertical="center" wrapText="1"/>
      <protection/>
    </xf>
    <xf numFmtId="39" fontId="24" fillId="0" borderId="14" xfId="0" applyNumberFormat="1" applyFont="1" applyBorder="1" applyAlignment="1" applyProtection="1">
      <alignment horizontal="right" vertical="center"/>
      <protection/>
    </xf>
    <xf numFmtId="39" fontId="24" fillId="0" borderId="12" xfId="0" applyNumberFormat="1" applyFont="1" applyBorder="1" applyAlignment="1" applyProtection="1">
      <alignment horizontal="right" vertical="center"/>
      <protection/>
    </xf>
    <xf numFmtId="39" fontId="24" fillId="0" borderId="13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32" fillId="33" borderId="30" xfId="0" applyFont="1" applyFill="1" applyBorder="1" applyAlignment="1">
      <alignment/>
    </xf>
    <xf numFmtId="0" fontId="19" fillId="33" borderId="38" xfId="0" applyFont="1" applyFill="1" applyBorder="1" applyAlignment="1" applyProtection="1">
      <alignment horizontal="center" vertical="center" wrapText="1"/>
      <protection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19" fillId="33" borderId="4" xfId="0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9" fillId="33" borderId="31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9" fillId="33" borderId="17" xfId="0" applyFont="1" applyFill="1" applyBorder="1" applyAlignment="1" applyProtection="1">
      <alignment horizontal="center" vertical="center" wrapText="1"/>
      <protection/>
    </xf>
    <xf numFmtId="0" fontId="19" fillId="33" borderId="4" xfId="0" applyFont="1" applyFill="1" applyBorder="1" applyAlignment="1" applyProtection="1">
      <alignment horizontal="center" vertical="center" wrapText="1"/>
      <protection/>
    </xf>
    <xf numFmtId="0" fontId="19" fillId="33" borderId="3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34" fillId="33" borderId="3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17" fillId="34" borderId="17" xfId="0" applyFont="1" applyFill="1" applyBorder="1" applyAlignment="1" applyProtection="1">
      <alignment horizontal="center" vertical="center" wrapText="1"/>
      <protection/>
    </xf>
    <xf numFmtId="0" fontId="17" fillId="34" borderId="31" xfId="0" applyFont="1" applyFill="1" applyBorder="1" applyAlignment="1" applyProtection="1">
      <alignment horizontal="center" vertical="center" wrapText="1"/>
      <protection/>
    </xf>
    <xf numFmtId="0" fontId="19" fillId="34" borderId="17" xfId="0" applyFont="1" applyFill="1" applyBorder="1" applyAlignment="1" applyProtection="1">
      <alignment horizontal="center" vertical="center" wrapText="1"/>
      <protection/>
    </xf>
    <xf numFmtId="0" fontId="19" fillId="34" borderId="31" xfId="0" applyFont="1" applyFill="1" applyBorder="1" applyAlignment="1" applyProtection="1">
      <alignment horizontal="center" vertical="center" wrapText="1"/>
      <protection/>
    </xf>
    <xf numFmtId="0" fontId="97" fillId="0" borderId="15" xfId="0" applyFont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7" fillId="34" borderId="17" xfId="0" applyFont="1" applyFill="1" applyBorder="1" applyAlignment="1" applyProtection="1">
      <alignment horizontal="center" vertical="center" wrapText="1"/>
      <protection/>
    </xf>
    <xf numFmtId="0" fontId="97" fillId="34" borderId="31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Chiso-IIP-11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uanpc\AppData\Local\Temp\Rar$DIa0.621\GTSX-GTSS%20CONG%20THUONG%20THANG11-GUIM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Bieu%20so-008-T11-BCC-NKHH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0">
          <cell r="D10">
            <v>106.185032378278</v>
          </cell>
          <cell r="F10">
            <v>100.596200339882</v>
          </cell>
          <cell r="G10">
            <v>109.856256972765</v>
          </cell>
          <cell r="H10">
            <v>107.922041112268</v>
          </cell>
        </row>
        <row r="13">
          <cell r="D13">
            <v>130.7843009152</v>
          </cell>
          <cell r="F13">
            <v>100.742568235763</v>
          </cell>
          <cell r="G13">
            <v>115.138926090164</v>
          </cell>
          <cell r="H13">
            <v>121.51479046078</v>
          </cell>
        </row>
        <row r="14">
          <cell r="D14">
            <v>105.793412590202</v>
          </cell>
          <cell r="G14">
            <v>109.591736546112</v>
          </cell>
          <cell r="H14">
            <v>107.715196951387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TSX- GIA TT11"/>
      <sheetName val="GTSX- GIA SS8"/>
    </sheetNames>
    <sheetDataSet>
      <sheetData sheetId="0">
        <row r="13">
          <cell r="C13">
            <v>1739464</v>
          </cell>
        </row>
        <row r="14">
          <cell r="C14">
            <v>428733072</v>
          </cell>
        </row>
        <row r="15">
          <cell r="C15">
            <v>5242822</v>
          </cell>
        </row>
        <row r="16">
          <cell r="C16">
            <v>730675</v>
          </cell>
        </row>
      </sheetData>
      <sheetData sheetId="1">
        <row r="13">
          <cell r="C13">
            <v>949177</v>
          </cell>
          <cell r="D13">
            <v>762777</v>
          </cell>
        </row>
        <row r="14">
          <cell r="C14">
            <v>342437555</v>
          </cell>
          <cell r="D14">
            <v>304681690</v>
          </cell>
        </row>
        <row r="15">
          <cell r="C15">
            <v>3775643</v>
          </cell>
          <cell r="D15">
            <v>3818680</v>
          </cell>
        </row>
        <row r="16">
          <cell r="C16">
            <v>540572</v>
          </cell>
          <cell r="D16">
            <v>506601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30000000"/>
      <sheetName val="40000000"/>
      <sheetName val="50000000"/>
      <sheetName val="60000000"/>
      <sheetName val="NKTW 11"/>
      <sheetName val="NKTW 11 (2)"/>
      <sheetName val="Sheet1"/>
    </sheetNames>
    <sheetDataSet>
      <sheetData sheetId="8">
        <row r="16">
          <cell r="AV16">
            <v>946317</v>
          </cell>
        </row>
        <row r="22">
          <cell r="AV22">
            <v>808899.9424732737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30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375" t="s">
        <v>106</v>
      </c>
      <c r="C2" s="375"/>
      <c r="D2" s="375"/>
      <c r="E2" s="375"/>
      <c r="F2" s="375"/>
    </row>
    <row r="3" ht="14.25" customHeight="1">
      <c r="E3" s="34" t="s">
        <v>73</v>
      </c>
    </row>
    <row r="4" spans="1:6" ht="31.5" customHeight="1">
      <c r="A4" s="376" t="s">
        <v>37</v>
      </c>
      <c r="B4" s="376" t="s">
        <v>38</v>
      </c>
      <c r="C4" s="376" t="s">
        <v>108</v>
      </c>
      <c r="D4" s="379" t="s">
        <v>109</v>
      </c>
      <c r="E4" s="380"/>
      <c r="F4" s="381" t="s">
        <v>110</v>
      </c>
    </row>
    <row r="5" spans="1:6" ht="31.5" customHeight="1">
      <c r="A5" s="377"/>
      <c r="B5" s="377"/>
      <c r="C5" s="378"/>
      <c r="D5" s="157" t="s">
        <v>74</v>
      </c>
      <c r="E5" s="158" t="s">
        <v>75</v>
      </c>
      <c r="F5" s="382"/>
    </row>
    <row r="6" spans="1:6" ht="18" customHeight="1">
      <c r="A6" s="42" t="s">
        <v>10</v>
      </c>
      <c r="B6" s="42" t="s">
        <v>11</v>
      </c>
      <c r="C6" s="56">
        <v>1</v>
      </c>
      <c r="D6" s="56">
        <v>2</v>
      </c>
      <c r="E6" s="75">
        <v>3</v>
      </c>
      <c r="F6" s="42">
        <v>4</v>
      </c>
    </row>
    <row r="7" spans="1:6" ht="15.75">
      <c r="A7" s="35"/>
      <c r="B7" s="92" t="s">
        <v>63</v>
      </c>
      <c r="C7" s="159">
        <f>'[1]Output'!D10</f>
        <v>106.185032378278</v>
      </c>
      <c r="D7" s="159">
        <f>'[1]Output'!F10</f>
        <v>100.596200339882</v>
      </c>
      <c r="E7" s="159">
        <f>'[1]Output'!G10</f>
        <v>109.856256972765</v>
      </c>
      <c r="F7" s="159">
        <f>'[1]Output'!H10</f>
        <v>107.922041112268</v>
      </c>
    </row>
    <row r="8" spans="1:6" ht="15.75">
      <c r="A8" s="36" t="s">
        <v>39</v>
      </c>
      <c r="B8" s="93" t="s">
        <v>41</v>
      </c>
      <c r="C8" s="160"/>
      <c r="D8" s="160"/>
      <c r="E8" s="160"/>
      <c r="F8" s="160"/>
    </row>
    <row r="9" spans="1:6" ht="15.75">
      <c r="A9" s="90">
        <v>1</v>
      </c>
      <c r="B9" s="94" t="s">
        <v>59</v>
      </c>
      <c r="C9" s="161">
        <f>'[1]Output'!D13</f>
        <v>130.7843009152</v>
      </c>
      <c r="D9" s="161">
        <f>'[1]Output'!F13</f>
        <v>100.742568235763</v>
      </c>
      <c r="E9" s="161">
        <f>'[1]Output'!G13</f>
        <v>115.138926090164</v>
      </c>
      <c r="F9" s="161">
        <f>'[1]Output'!H13</f>
        <v>121.51479046078</v>
      </c>
    </row>
    <row r="10" spans="1:6" ht="15.75">
      <c r="A10" s="90">
        <v>2</v>
      </c>
      <c r="B10" s="94" t="s">
        <v>60</v>
      </c>
      <c r="C10" s="161">
        <f>'[1]Output'!D14</f>
        <v>105.793412590202</v>
      </c>
      <c r="D10" s="161">
        <v>100.97</v>
      </c>
      <c r="E10" s="161">
        <f>'[1]Output'!G14</f>
        <v>109.591736546112</v>
      </c>
      <c r="F10" s="161">
        <f>'[1]Output'!H14</f>
        <v>107.715196951387</v>
      </c>
    </row>
    <row r="11" spans="1:6" ht="15.75">
      <c r="A11" s="90">
        <v>3</v>
      </c>
      <c r="B11" s="94" t="s">
        <v>61</v>
      </c>
      <c r="C11" s="161">
        <f aca="true" t="shared" si="0" ref="C11:F12">C28</f>
        <v>74.0600281720663</v>
      </c>
      <c r="D11" s="161">
        <f t="shared" si="0"/>
        <v>102.414045354792</v>
      </c>
      <c r="E11" s="161">
        <f t="shared" si="0"/>
        <v>84.2358604091456</v>
      </c>
      <c r="F11" s="161">
        <f t="shared" si="0"/>
        <v>86.9069462121243</v>
      </c>
    </row>
    <row r="12" spans="1:6" ht="15.75">
      <c r="A12" s="90">
        <v>4</v>
      </c>
      <c r="B12" s="94" t="s">
        <v>62</v>
      </c>
      <c r="C12" s="161">
        <f t="shared" si="0"/>
        <v>70.4748112500281</v>
      </c>
      <c r="D12" s="161">
        <f t="shared" si="0"/>
        <v>103.051104344298</v>
      </c>
      <c r="E12" s="161">
        <f t="shared" si="0"/>
        <v>76.7104016465164</v>
      </c>
      <c r="F12" s="161">
        <f t="shared" si="0"/>
        <v>77.0391749656917</v>
      </c>
    </row>
    <row r="13" spans="1:6" ht="15.75">
      <c r="A13" s="36" t="s">
        <v>40</v>
      </c>
      <c r="B13" s="93" t="s">
        <v>42</v>
      </c>
      <c r="C13" s="160"/>
      <c r="D13" s="160"/>
      <c r="E13" s="160"/>
      <c r="F13" s="160"/>
    </row>
    <row r="14" spans="1:6" ht="15.75">
      <c r="A14" s="90">
        <v>1</v>
      </c>
      <c r="B14" s="95" t="s">
        <v>55</v>
      </c>
      <c r="C14" s="161">
        <v>163.261763686883</v>
      </c>
      <c r="D14" s="161">
        <v>91.520456334737</v>
      </c>
      <c r="E14" s="161">
        <v>144.828291372499</v>
      </c>
      <c r="F14" s="161">
        <v>130.478085127428</v>
      </c>
    </row>
    <row r="15" spans="1:6" ht="15.75">
      <c r="A15" s="90">
        <f>A14+1</f>
        <v>2</v>
      </c>
      <c r="B15" s="95" t="s">
        <v>50</v>
      </c>
      <c r="C15" s="161">
        <v>120.729782423132</v>
      </c>
      <c r="D15" s="161">
        <v>101.025761138859</v>
      </c>
      <c r="E15" s="161">
        <v>107.003114685665</v>
      </c>
      <c r="F15" s="161">
        <v>122.631486769594</v>
      </c>
    </row>
    <row r="16" spans="1:6" ht="15.75">
      <c r="A16" s="90">
        <f aca="true" t="shared" si="1" ref="A16:A29">A15+1</f>
        <v>3</v>
      </c>
      <c r="B16" s="95" t="s">
        <v>43</v>
      </c>
      <c r="C16" s="161">
        <v>130.7843009152</v>
      </c>
      <c r="D16" s="161">
        <v>100.742568235763</v>
      </c>
      <c r="E16" s="161">
        <v>115.138926090164</v>
      </c>
      <c r="F16" s="161">
        <v>121.51479046078</v>
      </c>
    </row>
    <row r="17" spans="1:6" ht="15.75">
      <c r="A17" s="90">
        <f t="shared" si="1"/>
        <v>4</v>
      </c>
      <c r="B17" s="95" t="s">
        <v>52</v>
      </c>
      <c r="C17" s="161">
        <v>159.360290465226</v>
      </c>
      <c r="D17" s="161">
        <v>107.488693779781</v>
      </c>
      <c r="E17" s="161">
        <v>156.964194030012</v>
      </c>
      <c r="F17" s="161">
        <v>121.509718595353</v>
      </c>
    </row>
    <row r="18" spans="1:6" ht="15.75">
      <c r="A18" s="90">
        <f t="shared" si="1"/>
        <v>5</v>
      </c>
      <c r="B18" s="95" t="s">
        <v>48</v>
      </c>
      <c r="C18" s="161">
        <v>115.318127223601</v>
      </c>
      <c r="D18" s="161">
        <v>104.161791872911</v>
      </c>
      <c r="E18" s="161">
        <v>113.989934989671</v>
      </c>
      <c r="F18" s="161">
        <v>115.305381921608</v>
      </c>
    </row>
    <row r="19" spans="1:6" ht="15.75">
      <c r="A19" s="90">
        <f t="shared" si="1"/>
        <v>6</v>
      </c>
      <c r="B19" s="95" t="s">
        <v>47</v>
      </c>
      <c r="C19" s="161">
        <v>111.056651746374</v>
      </c>
      <c r="D19" s="161">
        <v>100.317407835583</v>
      </c>
      <c r="E19" s="161">
        <v>118.607885246885</v>
      </c>
      <c r="F19" s="161">
        <v>113.584883759608</v>
      </c>
    </row>
    <row r="20" spans="1:6" ht="15.75">
      <c r="A20" s="90">
        <f t="shared" si="1"/>
        <v>7</v>
      </c>
      <c r="B20" s="95" t="s">
        <v>53</v>
      </c>
      <c r="C20" s="161">
        <v>95.0963521045556</v>
      </c>
      <c r="D20" s="161">
        <v>106.367033767598</v>
      </c>
      <c r="E20" s="161">
        <v>110.585587468117</v>
      </c>
      <c r="F20" s="161">
        <v>112.479208563481</v>
      </c>
    </row>
    <row r="21" spans="1:6" ht="15.75">
      <c r="A21" s="90">
        <f t="shared" si="1"/>
        <v>8</v>
      </c>
      <c r="B21" s="95" t="s">
        <v>57</v>
      </c>
      <c r="C21" s="161">
        <v>104.459836088489</v>
      </c>
      <c r="D21" s="161">
        <v>82.7335718690337</v>
      </c>
      <c r="E21" s="161">
        <v>133.397618446766</v>
      </c>
      <c r="F21" s="161">
        <v>104.612607299903</v>
      </c>
    </row>
    <row r="22" spans="1:6" ht="15.75">
      <c r="A22" s="90">
        <f t="shared" si="1"/>
        <v>9</v>
      </c>
      <c r="B22" s="95" t="s">
        <v>56</v>
      </c>
      <c r="C22" s="161">
        <v>97.7569520574152</v>
      </c>
      <c r="D22" s="161">
        <v>104.705805329777</v>
      </c>
      <c r="E22" s="161">
        <v>101.255862068084</v>
      </c>
      <c r="F22" s="161">
        <v>104.378399069914</v>
      </c>
    </row>
    <row r="23" spans="1:6" ht="15.75">
      <c r="A23" s="90">
        <f t="shared" si="1"/>
        <v>10</v>
      </c>
      <c r="B23" s="95" t="s">
        <v>54</v>
      </c>
      <c r="C23" s="161">
        <v>100.464106912108</v>
      </c>
      <c r="D23" s="161">
        <v>97.8752617073928</v>
      </c>
      <c r="E23" s="161">
        <v>109.727002116086</v>
      </c>
      <c r="F23" s="161">
        <v>103.895623124875</v>
      </c>
    </row>
    <row r="24" spans="1:6" ht="15.75">
      <c r="A24" s="90">
        <f t="shared" si="1"/>
        <v>11</v>
      </c>
      <c r="B24" s="95" t="s">
        <v>51</v>
      </c>
      <c r="C24" s="161">
        <v>88.4025594804106</v>
      </c>
      <c r="D24" s="161">
        <v>102.850212778713</v>
      </c>
      <c r="E24" s="161">
        <v>100.665258943267</v>
      </c>
      <c r="F24" s="161">
        <v>103.314333228699</v>
      </c>
    </row>
    <row r="25" spans="1:6" ht="15.75">
      <c r="A25" s="90">
        <f t="shared" si="1"/>
        <v>12</v>
      </c>
      <c r="B25" s="95" t="s">
        <v>58</v>
      </c>
      <c r="C25" s="161">
        <v>91.9228020014296</v>
      </c>
      <c r="D25" s="161">
        <v>100.181441161223</v>
      </c>
      <c r="E25" s="161">
        <v>100.207415089448</v>
      </c>
      <c r="F25" s="161">
        <v>102.773204305411</v>
      </c>
    </row>
    <row r="26" spans="1:6" ht="15.75">
      <c r="A26" s="90">
        <f t="shared" si="1"/>
        <v>13</v>
      </c>
      <c r="B26" s="95" t="s">
        <v>44</v>
      </c>
      <c r="C26" s="161">
        <v>99.1924914214829</v>
      </c>
      <c r="D26" s="161">
        <v>99.5284635506152</v>
      </c>
      <c r="E26" s="161">
        <v>105.029082826098</v>
      </c>
      <c r="F26" s="161">
        <v>100.282608514937</v>
      </c>
    </row>
    <row r="27" spans="1:7" ht="15.75">
      <c r="A27" s="90">
        <f t="shared" si="1"/>
        <v>14</v>
      </c>
      <c r="B27" s="95" t="s">
        <v>46</v>
      </c>
      <c r="C27" s="161">
        <v>93.0533532051681</v>
      </c>
      <c r="D27" s="161">
        <v>100.768267661395</v>
      </c>
      <c r="E27" s="161">
        <v>96.8142278978853</v>
      </c>
      <c r="F27" s="161">
        <v>97.1262473100656</v>
      </c>
      <c r="G27" s="163">
        <f>F27-100</f>
        <v>-2.873752689934406</v>
      </c>
    </row>
    <row r="28" spans="1:7" ht="15.75">
      <c r="A28" s="90">
        <f t="shared" si="1"/>
        <v>15</v>
      </c>
      <c r="B28" s="95" t="s">
        <v>45</v>
      </c>
      <c r="C28" s="161">
        <v>74.0600281720663</v>
      </c>
      <c r="D28" s="161">
        <v>102.414045354792</v>
      </c>
      <c r="E28" s="161">
        <v>84.2358604091456</v>
      </c>
      <c r="F28" s="161">
        <v>86.9069462121243</v>
      </c>
      <c r="G28" s="163">
        <f>F28-100</f>
        <v>-13.093053787875704</v>
      </c>
    </row>
    <row r="29" spans="1:7" ht="15.75">
      <c r="A29" s="91">
        <f t="shared" si="1"/>
        <v>16</v>
      </c>
      <c r="B29" s="96" t="s">
        <v>49</v>
      </c>
      <c r="C29" s="162">
        <v>70.4748112500281</v>
      </c>
      <c r="D29" s="162">
        <v>103.051104344298</v>
      </c>
      <c r="E29" s="162">
        <v>76.7104016465164</v>
      </c>
      <c r="F29" s="162">
        <v>77.0391749656917</v>
      </c>
      <c r="G29" s="163">
        <f>F29-100</f>
        <v>-22.9608250343083</v>
      </c>
    </row>
    <row r="30" ht="20.25" customHeight="1">
      <c r="B30" s="125" t="s">
        <v>117</v>
      </c>
    </row>
  </sheetData>
  <sheetProtection/>
  <mergeCells count="6">
    <mergeCell ref="B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18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3.99609375" style="32" bestFit="1" customWidth="1"/>
    <col min="2" max="2" width="70.453125" style="32" customWidth="1"/>
    <col min="3" max="3" width="12.36328125" style="32" hidden="1" customWidth="1"/>
    <col min="4" max="4" width="12.453125" style="32" hidden="1" customWidth="1"/>
    <col min="5" max="5" width="12.36328125" style="32" hidden="1" customWidth="1"/>
    <col min="6" max="7" width="7.6328125" style="32" hidden="1" customWidth="1"/>
    <col min="8" max="9" width="12.90625" style="32" bestFit="1" customWidth="1"/>
    <col min="10" max="10" width="10.0859375" style="32" bestFit="1" customWidth="1"/>
    <col min="11" max="16384" width="8.90625" style="32" customWidth="1"/>
  </cols>
  <sheetData>
    <row r="1" ht="15" customHeight="1">
      <c r="B1" s="33" t="s">
        <v>7</v>
      </c>
    </row>
    <row r="2" spans="2:11" ht="29.25" customHeight="1">
      <c r="B2" s="375" t="s">
        <v>107</v>
      </c>
      <c r="C2" s="375"/>
      <c r="D2" s="375"/>
      <c r="E2" s="375"/>
      <c r="F2" s="375"/>
      <c r="G2" s="375"/>
      <c r="H2" s="375"/>
      <c r="I2" s="375"/>
      <c r="J2" s="375"/>
      <c r="K2" s="375"/>
    </row>
    <row r="3" spans="5:10" ht="14.25" customHeight="1">
      <c r="E3" s="32" t="s">
        <v>64</v>
      </c>
      <c r="F3" s="40"/>
      <c r="G3" s="40"/>
      <c r="I3" s="384" t="s">
        <v>116</v>
      </c>
      <c r="J3" s="384"/>
    </row>
    <row r="4" spans="1:10" ht="15.75" customHeight="1">
      <c r="A4" s="385" t="s">
        <v>37</v>
      </c>
      <c r="B4" s="385" t="s">
        <v>38</v>
      </c>
      <c r="C4" s="387" t="s">
        <v>82</v>
      </c>
      <c r="D4" s="387" t="s">
        <v>83</v>
      </c>
      <c r="E4" s="387" t="s">
        <v>84</v>
      </c>
      <c r="F4" s="41" t="s">
        <v>9</v>
      </c>
      <c r="G4" s="57"/>
      <c r="H4" s="383" t="s">
        <v>111</v>
      </c>
      <c r="I4" s="383" t="s">
        <v>112</v>
      </c>
      <c r="J4" s="383" t="s">
        <v>113</v>
      </c>
    </row>
    <row r="5" spans="1:10" ht="38.25">
      <c r="A5" s="386"/>
      <c r="B5" s="386"/>
      <c r="C5" s="387"/>
      <c r="D5" s="387"/>
      <c r="E5" s="387"/>
      <c r="F5" s="58" t="s">
        <v>85</v>
      </c>
      <c r="G5" s="58" t="s">
        <v>86</v>
      </c>
      <c r="H5" s="383"/>
      <c r="I5" s="383"/>
      <c r="J5" s="383"/>
    </row>
    <row r="6" spans="1:10" ht="15.75">
      <c r="A6" s="42" t="s">
        <v>10</v>
      </c>
      <c r="B6" s="42" t="s">
        <v>11</v>
      </c>
      <c r="C6" s="43">
        <v>1</v>
      </c>
      <c r="D6" s="43">
        <v>2</v>
      </c>
      <c r="E6" s="43">
        <v>4</v>
      </c>
      <c r="F6" s="44">
        <v>6</v>
      </c>
      <c r="G6" s="44">
        <v>7</v>
      </c>
      <c r="H6" s="42">
        <v>1</v>
      </c>
      <c r="I6" s="42">
        <v>2</v>
      </c>
      <c r="J6" s="42">
        <v>3</v>
      </c>
    </row>
    <row r="7" spans="1:10" ht="24" customHeight="1">
      <c r="A7" s="45" t="s">
        <v>39</v>
      </c>
      <c r="B7" s="46" t="s">
        <v>65</v>
      </c>
      <c r="C7" s="67">
        <v>26899171</v>
      </c>
      <c r="D7" s="67">
        <v>28420139</v>
      </c>
      <c r="E7" s="68">
        <v>27527836</v>
      </c>
      <c r="F7" s="65">
        <f aca="true" t="shared" si="0" ref="F7:F16">D7/E7*100</f>
        <v>103.24145711998575</v>
      </c>
      <c r="G7" s="109">
        <f>D7/C7*100</f>
        <v>105.65433038810006</v>
      </c>
      <c r="H7" s="115">
        <f>SUM(H8:H11)</f>
        <v>347702.947</v>
      </c>
      <c r="I7" s="115">
        <f>SUM(I8:I11)</f>
        <v>309769.748</v>
      </c>
      <c r="J7" s="116">
        <f aca="true" t="shared" si="1" ref="J7:J16">H7/I7*100</f>
        <v>112.24561121443013</v>
      </c>
    </row>
    <row r="8" spans="1:10" ht="24" customHeight="1">
      <c r="A8" s="37">
        <v>1</v>
      </c>
      <c r="B8" s="9" t="s">
        <v>66</v>
      </c>
      <c r="C8" s="69">
        <v>81332</v>
      </c>
      <c r="D8" s="69">
        <v>79353</v>
      </c>
      <c r="E8" s="69">
        <v>88979</v>
      </c>
      <c r="F8" s="66">
        <f t="shared" si="0"/>
        <v>89.18171703435642</v>
      </c>
      <c r="G8" s="110">
        <f aca="true" t="shared" si="2" ref="G8:G16">D8/C8*100</f>
        <v>97.56676338956376</v>
      </c>
      <c r="H8" s="113">
        <f>'[2]GTSX- GIA SS8'!C13/1000</f>
        <v>949.177</v>
      </c>
      <c r="I8" s="113">
        <f>'[2]GTSX- GIA SS8'!D13/1000</f>
        <v>762.777</v>
      </c>
      <c r="J8" s="123">
        <f t="shared" si="1"/>
        <v>124.43702418924534</v>
      </c>
    </row>
    <row r="9" spans="1:10" ht="24" customHeight="1">
      <c r="A9" s="37">
        <v>2</v>
      </c>
      <c r="B9" s="9" t="s">
        <v>67</v>
      </c>
      <c r="C9" s="69">
        <v>26447726</v>
      </c>
      <c r="D9" s="69">
        <v>28201280</v>
      </c>
      <c r="E9" s="69">
        <v>26988580</v>
      </c>
      <c r="F9" s="66">
        <f t="shared" si="0"/>
        <v>104.49338201565254</v>
      </c>
      <c r="G9" s="110">
        <f t="shared" si="2"/>
        <v>106.6302637890305</v>
      </c>
      <c r="H9" s="113">
        <f>'[2]GTSX- GIA SS8'!C14/1000</f>
        <v>342437.555</v>
      </c>
      <c r="I9" s="113">
        <f>'[2]GTSX- GIA SS8'!D14/1000</f>
        <v>304681.69</v>
      </c>
      <c r="J9" s="123">
        <f t="shared" si="1"/>
        <v>112.39190481055819</v>
      </c>
    </row>
    <row r="10" spans="1:10" ht="24" customHeight="1">
      <c r="A10" s="37">
        <v>3</v>
      </c>
      <c r="B10" s="9" t="s">
        <v>68</v>
      </c>
      <c r="C10" s="69">
        <v>324770</v>
      </c>
      <c r="D10" s="69">
        <v>93466</v>
      </c>
      <c r="E10" s="69">
        <v>401514</v>
      </c>
      <c r="F10" s="66">
        <f t="shared" si="0"/>
        <v>23.278391288971246</v>
      </c>
      <c r="G10" s="110">
        <f t="shared" si="2"/>
        <v>28.779136003941254</v>
      </c>
      <c r="H10" s="113">
        <f>'[2]GTSX- GIA SS8'!C15/1000</f>
        <v>3775.643</v>
      </c>
      <c r="I10" s="113">
        <f>'[2]GTSX- GIA SS8'!D15/1000</f>
        <v>3818.68</v>
      </c>
      <c r="J10" s="123">
        <f t="shared" si="1"/>
        <v>98.8729875244849</v>
      </c>
    </row>
    <row r="11" spans="1:10" ht="24" customHeight="1">
      <c r="A11" s="37">
        <v>4</v>
      </c>
      <c r="B11" s="47" t="s">
        <v>69</v>
      </c>
      <c r="C11" s="69">
        <v>45343</v>
      </c>
      <c r="D11" s="69">
        <v>46040</v>
      </c>
      <c r="E11" s="69">
        <v>48763</v>
      </c>
      <c r="F11" s="66">
        <f t="shared" si="0"/>
        <v>94.41584808153723</v>
      </c>
      <c r="G11" s="110">
        <f t="shared" si="2"/>
        <v>101.53717222062943</v>
      </c>
      <c r="H11" s="113">
        <f>'[2]GTSX- GIA SS8'!C16/1000</f>
        <v>540.572</v>
      </c>
      <c r="I11" s="113">
        <f>'[2]GTSX- GIA SS8'!D16/1000</f>
        <v>506.601</v>
      </c>
      <c r="J11" s="123">
        <f t="shared" si="1"/>
        <v>106.7056717219271</v>
      </c>
    </row>
    <row r="12" spans="1:10" ht="24" customHeight="1">
      <c r="A12" s="36" t="s">
        <v>39</v>
      </c>
      <c r="B12" s="48" t="s">
        <v>70</v>
      </c>
      <c r="C12" s="70">
        <v>33652195</v>
      </c>
      <c r="D12" s="70">
        <v>35517359</v>
      </c>
      <c r="E12" s="70">
        <v>33652259</v>
      </c>
      <c r="F12" s="72">
        <f t="shared" si="0"/>
        <v>105.5422728084911</v>
      </c>
      <c r="G12" s="111">
        <f t="shared" si="2"/>
        <v>105.54247352958701</v>
      </c>
      <c r="H12" s="121">
        <f>SUM(H13:H16)</f>
        <v>436446.03299999994</v>
      </c>
      <c r="I12" s="121">
        <f>SUM(I13:I16)</f>
        <v>382594.897</v>
      </c>
      <c r="J12" s="124">
        <f t="shared" si="1"/>
        <v>114.07523634587315</v>
      </c>
    </row>
    <row r="13" spans="1:10" ht="24" customHeight="1">
      <c r="A13" s="37">
        <v>1</v>
      </c>
      <c r="B13" s="47" t="s">
        <v>66</v>
      </c>
      <c r="C13" s="71">
        <v>145698</v>
      </c>
      <c r="D13" s="71">
        <v>142152</v>
      </c>
      <c r="E13" s="71">
        <v>135141</v>
      </c>
      <c r="F13" s="73">
        <f t="shared" si="0"/>
        <v>105.18791484449575</v>
      </c>
      <c r="G13" s="112">
        <f t="shared" si="2"/>
        <v>97.56619857513486</v>
      </c>
      <c r="H13" s="113">
        <f>'[2]GTSX- GIA TT11'!C13/1000</f>
        <v>1739.464</v>
      </c>
      <c r="I13" s="113">
        <v>1246.124</v>
      </c>
      <c r="J13" s="123">
        <f t="shared" si="1"/>
        <v>139.5899605496724</v>
      </c>
    </row>
    <row r="14" spans="1:10" ht="24" customHeight="1">
      <c r="A14" s="37">
        <f>A13+1</f>
        <v>2</v>
      </c>
      <c r="B14" s="47" t="s">
        <v>67</v>
      </c>
      <c r="C14" s="71">
        <v>32996183</v>
      </c>
      <c r="D14" s="71">
        <v>35183917</v>
      </c>
      <c r="E14" s="71">
        <v>32982743</v>
      </c>
      <c r="F14" s="73">
        <f t="shared" si="0"/>
        <v>106.67371419047834</v>
      </c>
      <c r="G14" s="112">
        <f t="shared" si="2"/>
        <v>106.63026387021797</v>
      </c>
      <c r="H14" s="113">
        <f>'[2]GTSX- GIA TT11'!C14/1000</f>
        <v>428733.072</v>
      </c>
      <c r="I14" s="113">
        <v>376046.637</v>
      </c>
      <c r="J14" s="122">
        <f t="shared" si="1"/>
        <v>114.0106119337533</v>
      </c>
    </row>
    <row r="15" spans="1:10" ht="24" customHeight="1">
      <c r="A15" s="37">
        <f>A14+1</f>
        <v>3</v>
      </c>
      <c r="B15" s="47" t="s">
        <v>68</v>
      </c>
      <c r="C15" s="71">
        <v>449255</v>
      </c>
      <c r="D15" s="71">
        <v>129292</v>
      </c>
      <c r="E15" s="71">
        <v>472300</v>
      </c>
      <c r="F15" s="73">
        <f t="shared" si="0"/>
        <v>27.37497353377091</v>
      </c>
      <c r="G15" s="112">
        <f t="shared" si="2"/>
        <v>28.779201121857295</v>
      </c>
      <c r="H15" s="113">
        <f>'[2]GTSX- GIA TT11'!C15/1000</f>
        <v>5242.822</v>
      </c>
      <c r="I15" s="113">
        <v>4636.985</v>
      </c>
      <c r="J15" s="117">
        <f t="shared" si="1"/>
        <v>113.06532153975051</v>
      </c>
    </row>
    <row r="16" spans="1:10" ht="24" customHeight="1">
      <c r="A16" s="38">
        <v>4</v>
      </c>
      <c r="B16" s="49" t="s">
        <v>69</v>
      </c>
      <c r="C16" s="119">
        <v>61059</v>
      </c>
      <c r="D16" s="119">
        <v>61998</v>
      </c>
      <c r="E16" s="119">
        <v>62075</v>
      </c>
      <c r="F16" s="74">
        <f t="shared" si="0"/>
        <v>99.87595650422875</v>
      </c>
      <c r="G16" s="120">
        <f t="shared" si="2"/>
        <v>101.53785682700338</v>
      </c>
      <c r="H16" s="114">
        <f>'[2]GTSX- GIA TT11'!C16/1000</f>
        <v>730.675</v>
      </c>
      <c r="I16" s="114">
        <v>665.151</v>
      </c>
      <c r="J16" s="118">
        <f t="shared" si="1"/>
        <v>109.85099623995154</v>
      </c>
    </row>
    <row r="17" ht="20.25" customHeight="1">
      <c r="B17" s="126" t="s">
        <v>118</v>
      </c>
    </row>
    <row r="18" ht="20.25" customHeight="1">
      <c r="B18" s="126" t="s">
        <v>119</v>
      </c>
    </row>
  </sheetData>
  <sheetProtection/>
  <mergeCells count="10">
    <mergeCell ref="B2:K2"/>
    <mergeCell ref="H4:H5"/>
    <mergeCell ref="I4:I5"/>
    <mergeCell ref="J4:J5"/>
    <mergeCell ref="I3:J3"/>
    <mergeCell ref="A4:A5"/>
    <mergeCell ref="B4:B5"/>
    <mergeCell ref="C4:C5"/>
    <mergeCell ref="D4:D5"/>
    <mergeCell ref="E4:E5"/>
  </mergeCells>
  <printOptions/>
  <pageMargins left="0.7480314960629921" right="0.2" top="0.984251968503937" bottom="0.6" header="0.28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4.18359375" style="32" customWidth="1"/>
    <col min="2" max="2" width="48.3632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0" style="32" hidden="1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7" ht="29.25" customHeight="1">
      <c r="B2" s="375" t="s">
        <v>164</v>
      </c>
      <c r="C2" s="375"/>
      <c r="D2" s="375"/>
      <c r="E2" s="375"/>
      <c r="F2" s="375"/>
      <c r="G2" s="375"/>
    </row>
    <row r="3" ht="14.25" customHeight="1">
      <c r="E3" s="34" t="s">
        <v>160</v>
      </c>
    </row>
    <row r="4" spans="1:7" ht="31.5" customHeight="1">
      <c r="A4" s="376" t="s">
        <v>37</v>
      </c>
      <c r="B4" s="376" t="s">
        <v>38</v>
      </c>
      <c r="C4" s="376" t="s">
        <v>165</v>
      </c>
      <c r="D4" s="379" t="s">
        <v>166</v>
      </c>
      <c r="E4" s="389"/>
      <c r="F4" s="381" t="s">
        <v>129</v>
      </c>
      <c r="G4" s="388" t="s">
        <v>167</v>
      </c>
    </row>
    <row r="5" spans="1:7" ht="31.5" customHeight="1">
      <c r="A5" s="377"/>
      <c r="B5" s="377"/>
      <c r="C5" s="378"/>
      <c r="D5" s="157" t="s">
        <v>74</v>
      </c>
      <c r="E5" s="157" t="s">
        <v>75</v>
      </c>
      <c r="F5" s="382"/>
      <c r="G5" s="388"/>
    </row>
    <row r="6" spans="1:7" ht="18" customHeight="1">
      <c r="A6" s="42" t="s">
        <v>10</v>
      </c>
      <c r="B6" s="56" t="s">
        <v>11</v>
      </c>
      <c r="C6" s="56">
        <v>1</v>
      </c>
      <c r="D6" s="42">
        <v>2</v>
      </c>
      <c r="E6" s="42">
        <v>3</v>
      </c>
      <c r="F6" s="56">
        <v>4</v>
      </c>
      <c r="G6" s="42">
        <v>4</v>
      </c>
    </row>
    <row r="7" spans="1:7" ht="15.75">
      <c r="A7" s="35"/>
      <c r="B7" s="231" t="s">
        <v>63</v>
      </c>
      <c r="C7" s="333">
        <v>99.8899978594535</v>
      </c>
      <c r="D7" s="236">
        <v>118.896713592476</v>
      </c>
      <c r="E7" s="168">
        <v>104.746040279619</v>
      </c>
      <c r="F7" s="168">
        <v>108.024780467894</v>
      </c>
      <c r="G7" s="334">
        <v>108.260095326694</v>
      </c>
    </row>
    <row r="8" spans="1:7" ht="15.75">
      <c r="A8" s="36" t="s">
        <v>39</v>
      </c>
      <c r="B8" s="164" t="s">
        <v>41</v>
      </c>
      <c r="C8" s="232"/>
      <c r="D8" s="169"/>
      <c r="E8" s="169"/>
      <c r="F8" s="169"/>
      <c r="G8" s="233"/>
    </row>
    <row r="9" spans="1:7" ht="15.75">
      <c r="A9" s="90">
        <v>1</v>
      </c>
      <c r="B9" s="165" t="s">
        <v>59</v>
      </c>
      <c r="C9" s="170">
        <v>89.5028775355715</v>
      </c>
      <c r="D9" s="170">
        <v>123.569739294942</v>
      </c>
      <c r="E9" s="170">
        <v>111.970317195831</v>
      </c>
      <c r="F9" s="170">
        <v>119.902490981107</v>
      </c>
      <c r="G9" s="233">
        <v>111.486655211784</v>
      </c>
    </row>
    <row r="10" spans="1:7" ht="15.75">
      <c r="A10" s="90">
        <v>2</v>
      </c>
      <c r="B10" s="165" t="s">
        <v>60</v>
      </c>
      <c r="C10" s="170">
        <v>100.17504916586</v>
      </c>
      <c r="D10" s="170">
        <v>118.840658319079</v>
      </c>
      <c r="E10" s="170">
        <v>104.798310200284</v>
      </c>
      <c r="F10" s="170">
        <v>107.838425136585</v>
      </c>
      <c r="G10" s="233">
        <v>108.280909900615</v>
      </c>
    </row>
    <row r="11" spans="1:7" ht="15.75">
      <c r="A11" s="90">
        <v>3</v>
      </c>
      <c r="B11" s="165" t="s">
        <v>61</v>
      </c>
      <c r="C11" s="170">
        <v>92.6974352878808</v>
      </c>
      <c r="D11" s="170">
        <v>122.379260447809</v>
      </c>
      <c r="E11" s="170">
        <v>84.8091303950284</v>
      </c>
      <c r="F11" s="170">
        <v>105.762965438645</v>
      </c>
      <c r="G11" s="233">
        <v>102.330625274067</v>
      </c>
    </row>
    <row r="12" spans="1:7" ht="15.75">
      <c r="A12" s="90">
        <v>4</v>
      </c>
      <c r="B12" s="165" t="s">
        <v>62</v>
      </c>
      <c r="C12" s="170">
        <v>92.9191459572979</v>
      </c>
      <c r="D12" s="170">
        <v>103.21316909632</v>
      </c>
      <c r="E12" s="170">
        <v>100.673606858543</v>
      </c>
      <c r="F12" s="170">
        <v>103.568673831439</v>
      </c>
      <c r="G12" s="233">
        <v>100.57839465972</v>
      </c>
    </row>
    <row r="13" spans="1:7" ht="15.75">
      <c r="A13" s="36" t="s">
        <v>40</v>
      </c>
      <c r="B13" s="164" t="s">
        <v>42</v>
      </c>
      <c r="C13" s="169"/>
      <c r="D13" s="169"/>
      <c r="E13" s="169"/>
      <c r="F13" s="169"/>
      <c r="G13" s="233"/>
    </row>
    <row r="14" spans="1:7" ht="15.75">
      <c r="A14" s="90">
        <v>1</v>
      </c>
      <c r="B14" s="166" t="s">
        <v>43</v>
      </c>
      <c r="C14" s="170">
        <v>89.5028775355715</v>
      </c>
      <c r="D14" s="170">
        <v>123.569739294942</v>
      </c>
      <c r="E14" s="170">
        <v>111.970317195831</v>
      </c>
      <c r="F14" s="170">
        <v>119.902490981107</v>
      </c>
      <c r="G14" s="332">
        <v>111.486655211784</v>
      </c>
    </row>
    <row r="15" spans="1:7" ht="15.75">
      <c r="A15" s="90">
        <f>A14+1</f>
        <v>2</v>
      </c>
      <c r="B15" s="166" t="s">
        <v>44</v>
      </c>
      <c r="C15" s="170">
        <v>99.2936949371114</v>
      </c>
      <c r="D15" s="170">
        <v>112.651109035293</v>
      </c>
      <c r="E15" s="170">
        <v>105.888340937446</v>
      </c>
      <c r="F15" s="170">
        <v>101.163255085973</v>
      </c>
      <c r="G15" s="233">
        <v>107.048328751969</v>
      </c>
    </row>
    <row r="16" spans="1:7" ht="15.75">
      <c r="A16" s="90">
        <f aca="true" t="shared" si="0" ref="A16:A29">A15+1</f>
        <v>3</v>
      </c>
      <c r="B16" s="166" t="s">
        <v>45</v>
      </c>
      <c r="C16" s="170">
        <v>87.7229365408544</v>
      </c>
      <c r="D16" s="170">
        <v>141.843971631206</v>
      </c>
      <c r="E16" s="170">
        <v>85.5310049893086</v>
      </c>
      <c r="F16" s="170">
        <v>84.8434912961957</v>
      </c>
      <c r="G16" s="233">
        <v>82.0425575135849</v>
      </c>
    </row>
    <row r="17" spans="1:7" ht="15.75">
      <c r="A17" s="90">
        <f t="shared" si="0"/>
        <v>4</v>
      </c>
      <c r="B17" s="166" t="s">
        <v>46</v>
      </c>
      <c r="C17" s="170">
        <v>84.6696266834063</v>
      </c>
      <c r="D17" s="170">
        <v>118.433756246252</v>
      </c>
      <c r="E17" s="170">
        <v>100.17981299097</v>
      </c>
      <c r="F17" s="170">
        <v>98.2925358932818</v>
      </c>
      <c r="G17" s="233">
        <v>101.209644809826</v>
      </c>
    </row>
    <row r="18" spans="1:7" ht="15.75">
      <c r="A18" s="90">
        <f t="shared" si="0"/>
        <v>5</v>
      </c>
      <c r="B18" s="166" t="s">
        <v>47</v>
      </c>
      <c r="C18" s="170">
        <v>96.1560348908456</v>
      </c>
      <c r="D18" s="170">
        <v>130.827414328749</v>
      </c>
      <c r="E18" s="170">
        <v>88.9137114901537</v>
      </c>
      <c r="F18" s="170">
        <v>113.377462537566</v>
      </c>
      <c r="G18" s="233">
        <v>118.459740568248</v>
      </c>
    </row>
    <row r="19" spans="1:7" ht="15.75">
      <c r="A19" s="90">
        <f t="shared" si="0"/>
        <v>6</v>
      </c>
      <c r="B19" s="166" t="s">
        <v>48</v>
      </c>
      <c r="C19" s="170">
        <v>117.749514311373</v>
      </c>
      <c r="D19" s="170">
        <v>102.612646057264</v>
      </c>
      <c r="E19" s="170">
        <v>114.410848004872</v>
      </c>
      <c r="F19" s="170">
        <v>114.319063906086</v>
      </c>
      <c r="G19" s="233">
        <v>116.597655857402</v>
      </c>
    </row>
    <row r="20" spans="1:7" ht="15.75">
      <c r="A20" s="90">
        <f t="shared" si="0"/>
        <v>7</v>
      </c>
      <c r="B20" s="166" t="s">
        <v>49</v>
      </c>
      <c r="C20" s="170">
        <v>81.0515029548628</v>
      </c>
      <c r="D20" s="170">
        <v>135.444416221423</v>
      </c>
      <c r="E20" s="170">
        <v>96.0425827241397</v>
      </c>
      <c r="F20" s="170">
        <v>77.512976704104</v>
      </c>
      <c r="G20" s="233">
        <v>93.8777105230234</v>
      </c>
    </row>
    <row r="21" spans="1:7" ht="15.75">
      <c r="A21" s="90">
        <f t="shared" si="0"/>
        <v>8</v>
      </c>
      <c r="B21" s="166" t="s">
        <v>50</v>
      </c>
      <c r="C21" s="170">
        <v>86.9240221895169</v>
      </c>
      <c r="D21" s="170">
        <v>135.974887688848</v>
      </c>
      <c r="E21" s="170">
        <v>102.032282444934</v>
      </c>
      <c r="F21" s="170">
        <v>119.771604241103</v>
      </c>
      <c r="G21" s="233">
        <v>98.6198842490387</v>
      </c>
    </row>
    <row r="22" spans="1:7" ht="15.75">
      <c r="A22" s="90">
        <f t="shared" si="0"/>
        <v>9</v>
      </c>
      <c r="B22" s="166" t="s">
        <v>51</v>
      </c>
      <c r="C22" s="170">
        <v>131.319918367542</v>
      </c>
      <c r="D22" s="170">
        <v>142.935142930229</v>
      </c>
      <c r="E22" s="170">
        <v>106.790129351015</v>
      </c>
      <c r="F22" s="170">
        <v>104.814923349011</v>
      </c>
      <c r="G22" s="233">
        <v>115.448888365595</v>
      </c>
    </row>
    <row r="23" spans="1:7" ht="15.75">
      <c r="A23" s="90">
        <f t="shared" si="0"/>
        <v>10</v>
      </c>
      <c r="B23" s="166" t="s">
        <v>52</v>
      </c>
      <c r="C23" s="170">
        <v>86.9544448566014</v>
      </c>
      <c r="D23" s="170">
        <v>137.497954867763</v>
      </c>
      <c r="E23" s="170">
        <v>90.6361162957841</v>
      </c>
      <c r="F23" s="170">
        <v>127.17098199098</v>
      </c>
      <c r="G23" s="233">
        <v>110.792928563088</v>
      </c>
    </row>
    <row r="24" spans="1:7" ht="15.75">
      <c r="A24" s="90">
        <f t="shared" si="0"/>
        <v>11</v>
      </c>
      <c r="B24" s="166" t="s">
        <v>53</v>
      </c>
      <c r="C24" s="170">
        <v>76.8717247764773</v>
      </c>
      <c r="D24" s="170">
        <v>144.952012548241</v>
      </c>
      <c r="E24" s="170">
        <v>102.555115727244</v>
      </c>
      <c r="F24" s="170">
        <v>111.040407541954</v>
      </c>
      <c r="G24" s="233">
        <v>92.9789054038186</v>
      </c>
    </row>
    <row r="25" spans="1:7" ht="15.75">
      <c r="A25" s="90">
        <f t="shared" si="0"/>
        <v>12</v>
      </c>
      <c r="B25" s="166" t="s">
        <v>54</v>
      </c>
      <c r="C25" s="170">
        <v>96.8400650700215</v>
      </c>
      <c r="D25" s="170">
        <v>131.256311394945</v>
      </c>
      <c r="E25" s="170">
        <v>114.553191517059</v>
      </c>
      <c r="F25" s="170">
        <v>104.50150626624</v>
      </c>
      <c r="G25" s="233">
        <v>119.26005019231</v>
      </c>
    </row>
    <row r="26" spans="1:7" ht="15.75">
      <c r="A26" s="90">
        <f t="shared" si="0"/>
        <v>13</v>
      </c>
      <c r="B26" s="166" t="s">
        <v>55</v>
      </c>
      <c r="C26" s="170">
        <v>126.053862034258</v>
      </c>
      <c r="D26" s="170">
        <v>112.413536696748</v>
      </c>
      <c r="E26" s="170">
        <v>124.889877328262</v>
      </c>
      <c r="F26" s="170">
        <v>132.987453608878</v>
      </c>
      <c r="G26" s="233">
        <v>124.919639889558</v>
      </c>
    </row>
    <row r="27" spans="1:7" ht="15.75">
      <c r="A27" s="90">
        <f t="shared" si="0"/>
        <v>14</v>
      </c>
      <c r="B27" s="166" t="s">
        <v>56</v>
      </c>
      <c r="C27" s="170">
        <v>95.8780702673162</v>
      </c>
      <c r="D27" s="170">
        <v>139.327665412432</v>
      </c>
      <c r="E27" s="170">
        <v>85.1629603156787</v>
      </c>
      <c r="F27" s="170">
        <v>105.415637289637</v>
      </c>
      <c r="G27" s="233">
        <v>94.117647666071</v>
      </c>
    </row>
    <row r="28" spans="1:7" ht="15.75">
      <c r="A28" s="90">
        <f t="shared" si="0"/>
        <v>15</v>
      </c>
      <c r="B28" s="166" t="s">
        <v>57</v>
      </c>
      <c r="C28" s="170">
        <v>92.6974352878808</v>
      </c>
      <c r="D28" s="170">
        <v>122.379260447809</v>
      </c>
      <c r="E28" s="170">
        <v>84.8091303950284</v>
      </c>
      <c r="F28" s="170">
        <v>105.762965438645</v>
      </c>
      <c r="G28" s="332">
        <v>102.330625274067</v>
      </c>
    </row>
    <row r="29" spans="1:7" ht="15.75">
      <c r="A29" s="91">
        <f t="shared" si="0"/>
        <v>16</v>
      </c>
      <c r="B29" s="167" t="s">
        <v>58</v>
      </c>
      <c r="C29" s="171">
        <v>92.9191459572979</v>
      </c>
      <c r="D29" s="171">
        <v>103.21316909632</v>
      </c>
      <c r="E29" s="171">
        <v>100.673606858543</v>
      </c>
      <c r="F29" s="171">
        <v>103.568673831439</v>
      </c>
      <c r="G29" s="234">
        <v>100.57839465972</v>
      </c>
    </row>
    <row r="30" spans="2:7" ht="20.25" customHeight="1">
      <c r="B30" s="125" t="s">
        <v>134</v>
      </c>
      <c r="G30" s="235"/>
    </row>
    <row r="31" ht="20.25" customHeight="1">
      <c r="G31" s="235"/>
    </row>
    <row r="32" ht="20.25" customHeight="1">
      <c r="G32" s="235"/>
    </row>
  </sheetData>
  <sheetProtection/>
  <mergeCells count="7">
    <mergeCell ref="G4:G5"/>
    <mergeCell ref="B2:G2"/>
    <mergeCell ref="A4:A5"/>
    <mergeCell ref="B4:B5"/>
    <mergeCell ref="C4:C5"/>
    <mergeCell ref="D4:E4"/>
    <mergeCell ref="F4:F5"/>
  </mergeCells>
  <printOptions/>
  <pageMargins left="0.93" right="0.16" top="0.69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5"/>
  <sheetViews>
    <sheetView workbookViewId="0" topLeftCell="A1">
      <selection activeCell="D8" sqref="D8"/>
    </sheetView>
  </sheetViews>
  <sheetFormatPr defaultColWidth="8.72265625" defaultRowHeight="16.5"/>
  <cols>
    <col min="1" max="1" width="3.99609375" style="77" bestFit="1" customWidth="1"/>
    <col min="2" max="2" width="54.90625" style="77" customWidth="1"/>
    <col min="3" max="3" width="6.453125" style="77" bestFit="1" customWidth="1"/>
    <col min="4" max="4" width="7.90625" style="77" customWidth="1"/>
    <col min="5" max="5" width="6.90625" style="77" customWidth="1"/>
    <col min="6" max="6" width="8.0859375" style="77" customWidth="1"/>
    <col min="7" max="8" width="7.99609375" style="77" customWidth="1"/>
    <col min="9" max="9" width="6.99609375" style="77" customWidth="1"/>
    <col min="10" max="10" width="6.54296875" style="77" customWidth="1"/>
    <col min="11" max="11" width="6.18359375" style="77" customWidth="1"/>
    <col min="12" max="16384" width="8.90625" style="77" customWidth="1"/>
  </cols>
  <sheetData>
    <row r="1" spans="1:8" ht="16.5">
      <c r="A1" s="338"/>
      <c r="B1" s="339" t="s">
        <v>7</v>
      </c>
      <c r="C1" s="339"/>
      <c r="D1" s="338"/>
      <c r="E1" s="338"/>
      <c r="F1" s="338"/>
      <c r="G1" s="338"/>
      <c r="H1" s="338"/>
    </row>
    <row r="2" spans="1:11" ht="18.75" customHeight="1">
      <c r="A2" s="338"/>
      <c r="B2" s="396" t="s">
        <v>212</v>
      </c>
      <c r="C2" s="396"/>
      <c r="D2" s="396"/>
      <c r="E2" s="396"/>
      <c r="F2" s="396"/>
      <c r="G2" s="396"/>
      <c r="H2" s="396"/>
      <c r="I2" s="396"/>
      <c r="J2" s="396"/>
      <c r="K2" s="396"/>
    </row>
    <row r="3" spans="1:8" ht="18.75">
      <c r="A3" s="338"/>
      <c r="B3" s="340"/>
      <c r="C3" s="340"/>
      <c r="D3" s="341"/>
      <c r="E3" s="342"/>
      <c r="F3" s="342"/>
      <c r="G3" s="342"/>
      <c r="H3" s="342"/>
    </row>
    <row r="4" spans="1:11" ht="16.5" customHeight="1">
      <c r="A4" s="397" t="s">
        <v>37</v>
      </c>
      <c r="B4" s="397" t="s">
        <v>71</v>
      </c>
      <c r="C4" s="397" t="s">
        <v>36</v>
      </c>
      <c r="D4" s="393" t="s">
        <v>213</v>
      </c>
      <c r="E4" s="394"/>
      <c r="F4" s="395"/>
      <c r="G4" s="393" t="s">
        <v>114</v>
      </c>
      <c r="H4" s="395"/>
      <c r="I4" s="390" t="s">
        <v>9</v>
      </c>
      <c r="J4" s="391"/>
      <c r="K4" s="392"/>
    </row>
    <row r="5" spans="1:11" ht="40.5" customHeight="1">
      <c r="A5" s="398"/>
      <c r="B5" s="398"/>
      <c r="C5" s="398"/>
      <c r="D5" s="343" t="s">
        <v>171</v>
      </c>
      <c r="E5" s="343" t="s">
        <v>179</v>
      </c>
      <c r="F5" s="343" t="s">
        <v>180</v>
      </c>
      <c r="G5" s="343" t="s">
        <v>214</v>
      </c>
      <c r="H5" s="343" t="s">
        <v>215</v>
      </c>
      <c r="I5" s="344" t="s">
        <v>216</v>
      </c>
      <c r="J5" s="344" t="s">
        <v>217</v>
      </c>
      <c r="K5" s="344" t="s">
        <v>218</v>
      </c>
    </row>
    <row r="6" spans="1:11" ht="16.5">
      <c r="A6" s="345" t="s">
        <v>10</v>
      </c>
      <c r="B6" s="345" t="s">
        <v>11</v>
      </c>
      <c r="C6" s="345" t="s">
        <v>72</v>
      </c>
      <c r="D6" s="345">
        <v>1</v>
      </c>
      <c r="E6" s="345">
        <v>2</v>
      </c>
      <c r="F6" s="345">
        <v>3</v>
      </c>
      <c r="G6" s="345">
        <v>4</v>
      </c>
      <c r="H6" s="345">
        <v>5</v>
      </c>
      <c r="I6" s="345">
        <v>6</v>
      </c>
      <c r="J6" s="345">
        <v>7</v>
      </c>
      <c r="K6" s="345">
        <v>8</v>
      </c>
    </row>
    <row r="7" spans="1:11" ht="16.5">
      <c r="A7" s="346">
        <v>1</v>
      </c>
      <c r="B7" s="351" t="s">
        <v>183</v>
      </c>
      <c r="C7" s="352" t="s">
        <v>184</v>
      </c>
      <c r="D7" s="369">
        <f>693583.490910623/1000</f>
        <v>693.583490910623</v>
      </c>
      <c r="E7" s="369">
        <f>849241.892710326/1000</f>
        <v>849.241892710326</v>
      </c>
      <c r="F7" s="369">
        <f>2685480.27809032/1000</f>
        <v>2685.48027809032</v>
      </c>
      <c r="G7" s="369">
        <f>799383.010039447/1000</f>
        <v>799.383010039447</v>
      </c>
      <c r="H7" s="369">
        <f>2523225.76176099/1000</f>
        <v>2523.2257617609903</v>
      </c>
      <c r="I7" s="372">
        <f>E7/D7*100</f>
        <v>122.44263363237427</v>
      </c>
      <c r="J7" s="372">
        <f>E7/G7*100</f>
        <v>106.23717067346962</v>
      </c>
      <c r="K7" s="372">
        <f>F7/H7*100</f>
        <v>106.43043990705337</v>
      </c>
    </row>
    <row r="8" spans="1:11" ht="16.5">
      <c r="A8" s="347">
        <f aca="true" t="shared" si="0" ref="A8:A26">A7+1</f>
        <v>2</v>
      </c>
      <c r="B8" s="353" t="s">
        <v>185</v>
      </c>
      <c r="C8" s="354" t="s">
        <v>12</v>
      </c>
      <c r="D8" s="348">
        <v>6302.4112335892605</v>
      </c>
      <c r="E8" s="348">
        <v>8322.02489721561</v>
      </c>
      <c r="F8" s="348">
        <v>22773.23203232364</v>
      </c>
      <c r="G8" s="348">
        <v>10792.955973257529</v>
      </c>
      <c r="H8" s="348">
        <v>28941.472295805997</v>
      </c>
      <c r="I8" s="373">
        <f aca="true" t="shared" si="1" ref="I8:I26">E8/D8*100</f>
        <v>132.04509494497344</v>
      </c>
      <c r="J8" s="373">
        <f aca="true" t="shared" si="2" ref="J8:J26">E8/G8*100</f>
        <v>77.10607657286549</v>
      </c>
      <c r="K8" s="373">
        <f aca="true" t="shared" si="3" ref="K8:K26">F8/H8*100</f>
        <v>78.68719255040727</v>
      </c>
    </row>
    <row r="9" spans="1:11" ht="16.5">
      <c r="A9" s="347">
        <f t="shared" si="0"/>
        <v>3</v>
      </c>
      <c r="B9" s="355" t="s">
        <v>186</v>
      </c>
      <c r="C9" s="356" t="s">
        <v>187</v>
      </c>
      <c r="D9" s="370">
        <f>15537/1000</f>
        <v>15.537</v>
      </c>
      <c r="E9" s="370">
        <f>15925/1000</f>
        <v>15.925</v>
      </c>
      <c r="F9" s="370">
        <f>51260/1000</f>
        <v>51.26</v>
      </c>
      <c r="G9" s="370">
        <f>17749/1000</f>
        <v>17.749</v>
      </c>
      <c r="H9" s="370">
        <f>50016/1000</f>
        <v>50.016</v>
      </c>
      <c r="I9" s="373">
        <f t="shared" si="1"/>
        <v>102.4972645941945</v>
      </c>
      <c r="J9" s="373">
        <f t="shared" si="2"/>
        <v>89.72336469660263</v>
      </c>
      <c r="K9" s="373">
        <f t="shared" si="3"/>
        <v>102.4872040946897</v>
      </c>
    </row>
    <row r="10" spans="1:11" ht="16.5">
      <c r="A10" s="347">
        <f t="shared" si="0"/>
        <v>4</v>
      </c>
      <c r="B10" s="355" t="s">
        <v>188</v>
      </c>
      <c r="C10" s="356" t="s">
        <v>187</v>
      </c>
      <c r="D10" s="370">
        <f>267878/1000</f>
        <v>267.878</v>
      </c>
      <c r="E10" s="370">
        <f>303180/1000</f>
        <v>303.18</v>
      </c>
      <c r="F10" s="370">
        <f>873538/1000</f>
        <v>873.538</v>
      </c>
      <c r="G10" s="370">
        <f>260903/1000</f>
        <v>260.903</v>
      </c>
      <c r="H10" s="370">
        <f>785734/1000</f>
        <v>785.734</v>
      </c>
      <c r="I10" s="373">
        <f t="shared" si="1"/>
        <v>113.17838717625189</v>
      </c>
      <c r="J10" s="373">
        <f t="shared" si="2"/>
        <v>116.20410650701601</v>
      </c>
      <c r="K10" s="373">
        <f t="shared" si="3"/>
        <v>111.17477416021198</v>
      </c>
    </row>
    <row r="11" spans="1:11" ht="16.5">
      <c r="A11" s="347">
        <f t="shared" si="0"/>
        <v>5</v>
      </c>
      <c r="B11" s="355" t="s">
        <v>189</v>
      </c>
      <c r="C11" s="356" t="s">
        <v>12</v>
      </c>
      <c r="D11" s="348">
        <v>1019.29398573162</v>
      </c>
      <c r="E11" s="348">
        <v>1445.80707195975</v>
      </c>
      <c r="F11" s="348">
        <v>3892.83554125162</v>
      </c>
      <c r="G11" s="348">
        <v>1690.38943496627</v>
      </c>
      <c r="H11" s="348">
        <v>4744.89784232656</v>
      </c>
      <c r="I11" s="373">
        <f t="shared" si="1"/>
        <v>141.8439716312062</v>
      </c>
      <c r="J11" s="373">
        <f t="shared" si="2"/>
        <v>85.53100498930884</v>
      </c>
      <c r="K11" s="373">
        <f t="shared" si="3"/>
        <v>82.04255751358497</v>
      </c>
    </row>
    <row r="12" spans="1:11" ht="16.5">
      <c r="A12" s="347">
        <f t="shared" si="0"/>
        <v>6</v>
      </c>
      <c r="B12" s="355" t="s">
        <v>190</v>
      </c>
      <c r="C12" s="356" t="s">
        <v>187</v>
      </c>
      <c r="D12" s="370">
        <f>33363/1000</f>
        <v>33.363</v>
      </c>
      <c r="E12" s="370">
        <f>37665/1000</f>
        <v>37.665</v>
      </c>
      <c r="F12" s="370">
        <f>114153/1000</f>
        <v>114.153</v>
      </c>
      <c r="G12" s="370">
        <f>37480/1000</f>
        <v>37.48</v>
      </c>
      <c r="H12" s="370">
        <f>115743/1000</f>
        <v>115.743</v>
      </c>
      <c r="I12" s="373">
        <f t="shared" si="1"/>
        <v>112.89452387375236</v>
      </c>
      <c r="J12" s="373">
        <f t="shared" si="2"/>
        <v>100.49359658484525</v>
      </c>
      <c r="K12" s="373">
        <f t="shared" si="3"/>
        <v>98.62626681527178</v>
      </c>
    </row>
    <row r="13" spans="1:11" ht="16.5">
      <c r="A13" s="347">
        <f t="shared" si="0"/>
        <v>7</v>
      </c>
      <c r="B13" s="355" t="s">
        <v>151</v>
      </c>
      <c r="C13" s="356" t="s">
        <v>191</v>
      </c>
      <c r="D13" s="370">
        <f>15951/1000</f>
        <v>15.951</v>
      </c>
      <c r="E13" s="370">
        <f>26570/1000</f>
        <v>26.57</v>
      </c>
      <c r="F13" s="370">
        <f>72040/1000</f>
        <v>72.04</v>
      </c>
      <c r="G13" s="370">
        <f>29641/1000</f>
        <v>29.641</v>
      </c>
      <c r="H13" s="370">
        <f>83135/1000</f>
        <v>83.135</v>
      </c>
      <c r="I13" s="373">
        <f t="shared" si="1"/>
        <v>166.57262867531816</v>
      </c>
      <c r="J13" s="373">
        <f t="shared" si="2"/>
        <v>89.63935089909249</v>
      </c>
      <c r="K13" s="373">
        <f t="shared" si="3"/>
        <v>86.65423708426054</v>
      </c>
    </row>
    <row r="14" spans="1:11" ht="16.5">
      <c r="A14" s="347">
        <f t="shared" si="0"/>
        <v>8</v>
      </c>
      <c r="B14" s="355" t="s">
        <v>192</v>
      </c>
      <c r="C14" s="356" t="s">
        <v>193</v>
      </c>
      <c r="D14" s="370">
        <f>6355.09019554799/1000</f>
        <v>6.35509019554799</v>
      </c>
      <c r="E14" s="370">
        <f>8423.78514464469/1000</f>
        <v>8.42378514464469</v>
      </c>
      <c r="F14" s="370">
        <f>23245.1093805106/1000</f>
        <v>23.2451093805106</v>
      </c>
      <c r="G14" s="370">
        <f>10024.6950140851/1000</f>
        <v>10.0246950140851</v>
      </c>
      <c r="H14" s="370">
        <f>28609.8228986016/1000</f>
        <v>28.6098228986016</v>
      </c>
      <c r="I14" s="373">
        <f t="shared" si="1"/>
        <v>132.55177952542527</v>
      </c>
      <c r="J14" s="373">
        <f t="shared" si="2"/>
        <v>84.03033840739226</v>
      </c>
      <c r="K14" s="373">
        <f t="shared" si="3"/>
        <v>81.24870070987676</v>
      </c>
    </row>
    <row r="15" spans="1:11" ht="16.5">
      <c r="A15" s="347">
        <f t="shared" si="0"/>
        <v>9</v>
      </c>
      <c r="B15" s="353" t="s">
        <v>194</v>
      </c>
      <c r="C15" s="354" t="s">
        <v>195</v>
      </c>
      <c r="D15" s="348">
        <v>9379</v>
      </c>
      <c r="E15" s="348">
        <v>9703</v>
      </c>
      <c r="F15" s="348">
        <v>28824</v>
      </c>
      <c r="G15" s="348">
        <v>10036</v>
      </c>
      <c r="H15" s="348">
        <v>23996.12</v>
      </c>
      <c r="I15" s="373">
        <f t="shared" si="1"/>
        <v>103.45452606887729</v>
      </c>
      <c r="J15" s="373">
        <f t="shared" si="2"/>
        <v>96.68194499800717</v>
      </c>
      <c r="K15" s="373">
        <f t="shared" si="3"/>
        <v>120.11941930612116</v>
      </c>
    </row>
    <row r="16" spans="1:11" ht="16.5">
      <c r="A16" s="347">
        <f t="shared" si="0"/>
        <v>10</v>
      </c>
      <c r="B16" s="355" t="s">
        <v>196</v>
      </c>
      <c r="C16" s="356" t="s">
        <v>12</v>
      </c>
      <c r="D16" s="348">
        <v>669</v>
      </c>
      <c r="E16" s="348">
        <v>942</v>
      </c>
      <c r="F16" s="348">
        <v>2468</v>
      </c>
      <c r="G16" s="348">
        <v>2297</v>
      </c>
      <c r="H16" s="348">
        <v>4344</v>
      </c>
      <c r="I16" s="373">
        <f t="shared" si="1"/>
        <v>140.8071748878924</v>
      </c>
      <c r="J16" s="373">
        <f t="shared" si="2"/>
        <v>41.010013060513714</v>
      </c>
      <c r="K16" s="373">
        <f t="shared" si="3"/>
        <v>56.813996316758754</v>
      </c>
    </row>
    <row r="17" spans="1:11" ht="16.5">
      <c r="A17" s="347">
        <f t="shared" si="0"/>
        <v>11</v>
      </c>
      <c r="B17" s="355" t="s">
        <v>197</v>
      </c>
      <c r="C17" s="356" t="s">
        <v>12</v>
      </c>
      <c r="D17" s="348">
        <v>1360.95058039049</v>
      </c>
      <c r="E17" s="348">
        <v>1919.9505803904901</v>
      </c>
      <c r="F17" s="348">
        <v>5486.019679209431</v>
      </c>
      <c r="G17" s="348">
        <v>1731.868988324559</v>
      </c>
      <c r="H17" s="348">
        <v>5054.957932411075</v>
      </c>
      <c r="I17" s="373">
        <f t="shared" si="1"/>
        <v>141.07423208854576</v>
      </c>
      <c r="J17" s="373">
        <f t="shared" si="2"/>
        <v>110.86003579565707</v>
      </c>
      <c r="K17" s="373">
        <f t="shared" si="3"/>
        <v>108.52750413677037</v>
      </c>
    </row>
    <row r="18" spans="1:11" ht="16.5">
      <c r="A18" s="347">
        <f t="shared" si="0"/>
        <v>12</v>
      </c>
      <c r="B18" s="355" t="s">
        <v>198</v>
      </c>
      <c r="C18" s="356" t="s">
        <v>187</v>
      </c>
      <c r="D18" s="370">
        <f>5504/1000</f>
        <v>5.504</v>
      </c>
      <c r="E18" s="370">
        <f>6189/1000</f>
        <v>6.189</v>
      </c>
      <c r="F18" s="370">
        <f>21070/1000</f>
        <v>21.07</v>
      </c>
      <c r="G18" s="370">
        <f>7868/1000</f>
        <v>7.868</v>
      </c>
      <c r="H18" s="370">
        <f>20329/1000</f>
        <v>20.329</v>
      </c>
      <c r="I18" s="373">
        <f t="shared" si="1"/>
        <v>112.44549418604652</v>
      </c>
      <c r="J18" s="373">
        <f t="shared" si="2"/>
        <v>78.66039654295882</v>
      </c>
      <c r="K18" s="373">
        <f t="shared" si="3"/>
        <v>103.64503910669487</v>
      </c>
    </row>
    <row r="19" spans="1:11" ht="16.5">
      <c r="A19" s="347">
        <f t="shared" si="0"/>
        <v>13</v>
      </c>
      <c r="B19" s="357" t="s">
        <v>199</v>
      </c>
      <c r="C19" s="356" t="s">
        <v>12</v>
      </c>
      <c r="D19" s="370">
        <f>399917.159149138/1000</f>
        <v>399.917159149138</v>
      </c>
      <c r="E19" s="370">
        <f>433909.628429558/1000</f>
        <v>433.909628429558</v>
      </c>
      <c r="F19" s="370">
        <f>1188651.47870064/1000</f>
        <v>1188.65147870064</v>
      </c>
      <c r="G19" s="370">
        <f>361919.313976852/1000</f>
        <v>361.919313976852</v>
      </c>
      <c r="H19" s="370">
        <f>1055812.78402114/1000</f>
        <v>1055.81278402114</v>
      </c>
      <c r="I19" s="373">
        <f t="shared" si="1"/>
        <v>108.49987766284951</v>
      </c>
      <c r="J19" s="373">
        <f t="shared" si="2"/>
        <v>119.89126075137024</v>
      </c>
      <c r="K19" s="373">
        <f t="shared" si="3"/>
        <v>112.58165241886672</v>
      </c>
    </row>
    <row r="20" spans="1:11" ht="16.5">
      <c r="A20" s="347">
        <f t="shared" si="0"/>
        <v>14</v>
      </c>
      <c r="B20" s="355" t="s">
        <v>200</v>
      </c>
      <c r="C20" s="356" t="s">
        <v>12</v>
      </c>
      <c r="D20" s="348">
        <v>4794.50247241779</v>
      </c>
      <c r="E20" s="348">
        <v>5770.80842131822</v>
      </c>
      <c r="F20" s="348">
        <v>18525.8055057746</v>
      </c>
      <c r="G20" s="348">
        <v>7866.46514564855</v>
      </c>
      <c r="H20" s="348">
        <v>25194.895425159</v>
      </c>
      <c r="I20" s="373">
        <f t="shared" si="1"/>
        <v>120.36302941790109</v>
      </c>
      <c r="J20" s="373">
        <f t="shared" si="2"/>
        <v>73.35961342828077</v>
      </c>
      <c r="K20" s="373">
        <f t="shared" si="3"/>
        <v>73.52999563266766</v>
      </c>
    </row>
    <row r="21" spans="1:11" ht="16.5">
      <c r="A21" s="347">
        <f t="shared" si="0"/>
        <v>15</v>
      </c>
      <c r="B21" s="357" t="s">
        <v>201</v>
      </c>
      <c r="C21" s="356" t="s">
        <v>12</v>
      </c>
      <c r="D21" s="348">
        <v>5267.03483142669</v>
      </c>
      <c r="E21" s="348">
        <v>8679.05188943604</v>
      </c>
      <c r="F21" s="348">
        <v>22193.13281996532</v>
      </c>
      <c r="G21" s="348">
        <v>9801.05569004101</v>
      </c>
      <c r="H21" s="348">
        <v>22202.64653567795</v>
      </c>
      <c r="I21" s="373">
        <f t="shared" si="1"/>
        <v>164.78060554395708</v>
      </c>
      <c r="J21" s="373">
        <f t="shared" si="2"/>
        <v>88.55221482166401</v>
      </c>
      <c r="K21" s="373">
        <f t="shared" si="3"/>
        <v>99.95715053294506</v>
      </c>
    </row>
    <row r="22" spans="1:11" ht="16.5">
      <c r="A22" s="347">
        <f t="shared" si="0"/>
        <v>16</v>
      </c>
      <c r="B22" s="355" t="s">
        <v>202</v>
      </c>
      <c r="C22" s="356" t="s">
        <v>203</v>
      </c>
      <c r="D22" s="370">
        <f>11161/1000</f>
        <v>11.161</v>
      </c>
      <c r="E22" s="370">
        <f>11000/1000</f>
        <v>11</v>
      </c>
      <c r="F22" s="370">
        <f>32936/1000</f>
        <v>32.936</v>
      </c>
      <c r="G22" s="370">
        <f>10882.5/1000</f>
        <v>10.8825</v>
      </c>
      <c r="H22" s="370">
        <f>18019.5/1000</f>
        <v>18.0195</v>
      </c>
      <c r="I22" s="373">
        <f t="shared" si="1"/>
        <v>98.55747692859063</v>
      </c>
      <c r="J22" s="373">
        <f t="shared" si="2"/>
        <v>101.07971513898461</v>
      </c>
      <c r="K22" s="373">
        <f t="shared" si="3"/>
        <v>182.77976636421653</v>
      </c>
    </row>
    <row r="23" spans="1:11" ht="16.5">
      <c r="A23" s="347">
        <f t="shared" si="0"/>
        <v>17</v>
      </c>
      <c r="B23" s="357" t="s">
        <v>204</v>
      </c>
      <c r="C23" s="356" t="s">
        <v>205</v>
      </c>
      <c r="D23" s="370">
        <f>41612.6743742977/1000</f>
        <v>41.6126743742977</v>
      </c>
      <c r="E23" s="370">
        <f>44981.098891088/1000</f>
        <v>44.981098891087996</v>
      </c>
      <c r="F23" s="370">
        <f>157032.793074778/1000</f>
        <v>157.032793074778</v>
      </c>
      <c r="G23" s="370">
        <f>40770.5682451002/1000</f>
        <v>40.7705682451002</v>
      </c>
      <c r="H23" s="370">
        <f>125256.970922169/1000</f>
        <v>125.256970922169</v>
      </c>
      <c r="I23" s="373">
        <f t="shared" si="1"/>
        <v>108.09470808458978</v>
      </c>
      <c r="J23" s="373">
        <f t="shared" si="2"/>
        <v>110.32737787875648</v>
      </c>
      <c r="K23" s="373">
        <f t="shared" si="3"/>
        <v>125.36850597509144</v>
      </c>
    </row>
    <row r="24" spans="1:11" ht="16.5">
      <c r="A24" s="347">
        <f t="shared" si="0"/>
        <v>18</v>
      </c>
      <c r="B24" s="357" t="s">
        <v>206</v>
      </c>
      <c r="C24" s="356" t="s">
        <v>115</v>
      </c>
      <c r="D24" s="370">
        <f>321990/1000</f>
        <v>321.99</v>
      </c>
      <c r="E24" s="370">
        <f>431466/1000</f>
        <v>431.466</v>
      </c>
      <c r="F24" s="370">
        <f>1307767/1000</f>
        <v>1307.767</v>
      </c>
      <c r="G24" s="370">
        <f>528447/1000</f>
        <v>528.447</v>
      </c>
      <c r="H24" s="370">
        <f>1477133/1000</f>
        <v>1477.133</v>
      </c>
      <c r="I24" s="373">
        <f t="shared" si="1"/>
        <v>133.99981365880927</v>
      </c>
      <c r="J24" s="373">
        <f t="shared" si="2"/>
        <v>81.64792306513236</v>
      </c>
      <c r="K24" s="373">
        <f t="shared" si="3"/>
        <v>88.53414012143796</v>
      </c>
    </row>
    <row r="25" spans="1:11" ht="16.5">
      <c r="A25" s="347">
        <f t="shared" si="0"/>
        <v>19</v>
      </c>
      <c r="B25" s="355" t="s">
        <v>207</v>
      </c>
      <c r="C25" s="356" t="s">
        <v>208</v>
      </c>
      <c r="D25" s="348">
        <v>929.380454048236</v>
      </c>
      <c r="E25" s="348">
        <v>1106.988839713536</v>
      </c>
      <c r="F25" s="348">
        <v>3205.3571457088697</v>
      </c>
      <c r="G25" s="348">
        <v>1168.889183957511</v>
      </c>
      <c r="H25" s="348">
        <v>3081.9987591589997</v>
      </c>
      <c r="I25" s="373">
        <f t="shared" si="1"/>
        <v>119.11040681904441</v>
      </c>
      <c r="J25" s="373">
        <f t="shared" si="2"/>
        <v>94.70434450985346</v>
      </c>
      <c r="K25" s="373">
        <f t="shared" si="3"/>
        <v>104.00254497777706</v>
      </c>
    </row>
    <row r="26" spans="1:11" ht="16.5">
      <c r="A26" s="350">
        <f t="shared" si="0"/>
        <v>20</v>
      </c>
      <c r="B26" s="358" t="s">
        <v>209</v>
      </c>
      <c r="C26" s="359" t="s">
        <v>210</v>
      </c>
      <c r="D26" s="371">
        <f>7964.1/1000</f>
        <v>7.9641</v>
      </c>
      <c r="E26" s="371">
        <f>8220/1000</f>
        <v>8.22</v>
      </c>
      <c r="F26" s="371">
        <f>24710.1/1000</f>
        <v>24.710099999999997</v>
      </c>
      <c r="G26" s="371">
        <f>8165/1000</f>
        <v>8.165</v>
      </c>
      <c r="H26" s="371">
        <f>24568/1000</f>
        <v>24.568</v>
      </c>
      <c r="I26" s="374">
        <f t="shared" si="1"/>
        <v>103.21316909631975</v>
      </c>
      <c r="J26" s="374">
        <f t="shared" si="2"/>
        <v>100.67360685854258</v>
      </c>
      <c r="K26" s="374">
        <f t="shared" si="3"/>
        <v>100.57839465971993</v>
      </c>
    </row>
    <row r="27" spans="1:12" ht="16.5">
      <c r="A27" s="360"/>
      <c r="B27" s="361"/>
      <c r="C27" s="361"/>
      <c r="D27" s="362"/>
      <c r="E27" s="362"/>
      <c r="F27" s="362"/>
      <c r="G27" s="362"/>
      <c r="H27" s="362"/>
      <c r="I27" s="363"/>
      <c r="J27" s="363"/>
      <c r="K27" s="363"/>
      <c r="L27" s="364"/>
    </row>
    <row r="28" spans="1:12" ht="16.5">
      <c r="A28" s="360"/>
      <c r="B28" s="365"/>
      <c r="C28" s="366"/>
      <c r="D28" s="362"/>
      <c r="E28" s="362"/>
      <c r="F28" s="362"/>
      <c r="G28" s="362"/>
      <c r="H28" s="362"/>
      <c r="I28" s="363"/>
      <c r="J28" s="363"/>
      <c r="K28" s="363"/>
      <c r="L28" s="364"/>
    </row>
    <row r="29" spans="1:12" ht="16.5">
      <c r="A29" s="360"/>
      <c r="B29" s="365"/>
      <c r="C29" s="366"/>
      <c r="D29" s="362"/>
      <c r="E29" s="362"/>
      <c r="F29" s="362"/>
      <c r="G29" s="362"/>
      <c r="H29" s="362"/>
      <c r="I29" s="363"/>
      <c r="J29" s="363"/>
      <c r="K29" s="363"/>
      <c r="L29" s="364"/>
    </row>
    <row r="30" spans="1:12" ht="16.5">
      <c r="A30" s="360"/>
      <c r="B30" s="365"/>
      <c r="C30" s="366"/>
      <c r="D30" s="362"/>
      <c r="E30" s="362"/>
      <c r="F30" s="362"/>
      <c r="G30" s="362"/>
      <c r="H30" s="362"/>
      <c r="I30" s="363"/>
      <c r="J30" s="363"/>
      <c r="K30" s="363"/>
      <c r="L30" s="364"/>
    </row>
    <row r="31" spans="1:12" ht="16.5">
      <c r="A31" s="360"/>
      <c r="B31" s="365"/>
      <c r="C31" s="366"/>
      <c r="D31" s="362"/>
      <c r="E31" s="362"/>
      <c r="F31" s="362"/>
      <c r="G31" s="362"/>
      <c r="H31" s="362"/>
      <c r="I31" s="363"/>
      <c r="J31" s="363"/>
      <c r="K31" s="363"/>
      <c r="L31" s="364"/>
    </row>
    <row r="32" spans="1:12" ht="16.5">
      <c r="A32" s="360"/>
      <c r="B32" s="365"/>
      <c r="C32" s="366"/>
      <c r="D32" s="362"/>
      <c r="E32" s="362"/>
      <c r="F32" s="362"/>
      <c r="G32" s="362"/>
      <c r="H32" s="362"/>
      <c r="I32" s="363"/>
      <c r="J32" s="363"/>
      <c r="K32" s="363"/>
      <c r="L32" s="364"/>
    </row>
    <row r="33" spans="1:12" ht="16.5">
      <c r="A33" s="360"/>
      <c r="B33" s="361"/>
      <c r="C33" s="361"/>
      <c r="D33" s="362"/>
      <c r="E33" s="362"/>
      <c r="F33" s="362"/>
      <c r="G33" s="362"/>
      <c r="H33" s="362"/>
      <c r="I33" s="363"/>
      <c r="J33" s="363"/>
      <c r="K33" s="363"/>
      <c r="L33" s="364"/>
    </row>
    <row r="34" spans="1:12" ht="16.5">
      <c r="A34" s="360"/>
      <c r="B34" s="365"/>
      <c r="C34" s="366"/>
      <c r="D34" s="362"/>
      <c r="E34" s="362"/>
      <c r="F34" s="362"/>
      <c r="G34" s="362"/>
      <c r="H34" s="362"/>
      <c r="I34" s="363"/>
      <c r="J34" s="363"/>
      <c r="K34" s="363"/>
      <c r="L34" s="364"/>
    </row>
    <row r="35" spans="1:12" ht="16.5">
      <c r="A35" s="360"/>
      <c r="B35" s="365"/>
      <c r="C35" s="366"/>
      <c r="D35" s="362"/>
      <c r="E35" s="362"/>
      <c r="F35" s="362"/>
      <c r="G35" s="362"/>
      <c r="H35" s="362"/>
      <c r="I35" s="363"/>
      <c r="J35" s="363"/>
      <c r="K35" s="363"/>
      <c r="L35" s="364"/>
    </row>
    <row r="36" spans="1:12" ht="16.5">
      <c r="A36" s="360"/>
      <c r="B36" s="365"/>
      <c r="C36" s="366"/>
      <c r="D36" s="362"/>
      <c r="E36" s="362"/>
      <c r="F36" s="362"/>
      <c r="G36" s="362"/>
      <c r="H36" s="362"/>
      <c r="I36" s="363"/>
      <c r="J36" s="363"/>
      <c r="K36" s="363"/>
      <c r="L36" s="364"/>
    </row>
    <row r="37" spans="1:12" ht="16.5">
      <c r="A37" s="360"/>
      <c r="B37" s="367"/>
      <c r="C37" s="366"/>
      <c r="D37" s="362"/>
      <c r="E37" s="362"/>
      <c r="F37" s="362"/>
      <c r="G37" s="362"/>
      <c r="H37" s="362"/>
      <c r="I37" s="363"/>
      <c r="J37" s="363"/>
      <c r="K37" s="363"/>
      <c r="L37" s="364"/>
    </row>
    <row r="38" spans="1:12" ht="16.5">
      <c r="A38" s="360"/>
      <c r="B38" s="367"/>
      <c r="C38" s="366"/>
      <c r="D38" s="362"/>
      <c r="E38" s="362"/>
      <c r="F38" s="362"/>
      <c r="G38" s="362"/>
      <c r="H38" s="362"/>
      <c r="I38" s="363"/>
      <c r="J38" s="363"/>
      <c r="K38" s="363"/>
      <c r="L38" s="364"/>
    </row>
    <row r="39" spans="1:12" ht="16.5">
      <c r="A39" s="360"/>
      <c r="B39" s="367"/>
      <c r="C39" s="361"/>
      <c r="D39" s="362"/>
      <c r="E39" s="362"/>
      <c r="F39" s="362"/>
      <c r="G39" s="362"/>
      <c r="H39" s="362"/>
      <c r="I39" s="363"/>
      <c r="J39" s="363"/>
      <c r="K39" s="363"/>
      <c r="L39" s="364"/>
    </row>
    <row r="40" spans="1:12" ht="16.5">
      <c r="A40" s="360"/>
      <c r="B40" s="367"/>
      <c r="C40" s="366"/>
      <c r="D40" s="362"/>
      <c r="E40" s="362"/>
      <c r="F40" s="362"/>
      <c r="G40" s="362"/>
      <c r="H40" s="362"/>
      <c r="I40" s="363"/>
      <c r="J40" s="363"/>
      <c r="K40" s="363"/>
      <c r="L40" s="364"/>
    </row>
    <row r="41" spans="1:12" ht="16.5">
      <c r="A41" s="360"/>
      <c r="B41" s="367"/>
      <c r="C41" s="366"/>
      <c r="D41" s="362"/>
      <c r="E41" s="362"/>
      <c r="F41" s="362"/>
      <c r="G41" s="362"/>
      <c r="H41" s="362"/>
      <c r="I41" s="363"/>
      <c r="J41" s="363"/>
      <c r="K41" s="363"/>
      <c r="L41" s="364"/>
    </row>
    <row r="42" spans="1:12" ht="16.5">
      <c r="A42" s="360"/>
      <c r="B42" s="367"/>
      <c r="C42" s="366"/>
      <c r="D42" s="362"/>
      <c r="E42" s="362"/>
      <c r="F42" s="362"/>
      <c r="G42" s="362"/>
      <c r="H42" s="362"/>
      <c r="I42" s="363"/>
      <c r="J42" s="363"/>
      <c r="K42" s="363"/>
      <c r="L42" s="364"/>
    </row>
    <row r="43" spans="1:12" ht="16.5">
      <c r="A43" s="360"/>
      <c r="B43" s="367"/>
      <c r="C43" s="366"/>
      <c r="D43" s="362"/>
      <c r="E43" s="362"/>
      <c r="F43" s="362"/>
      <c r="G43" s="362"/>
      <c r="H43" s="362"/>
      <c r="I43" s="363"/>
      <c r="J43" s="363"/>
      <c r="K43" s="363"/>
      <c r="L43" s="364"/>
    </row>
    <row r="44" spans="1:12" ht="16.5">
      <c r="A44" s="360"/>
      <c r="B44" s="367"/>
      <c r="C44" s="360"/>
      <c r="D44" s="362"/>
      <c r="E44" s="362"/>
      <c r="F44" s="362"/>
      <c r="G44" s="362"/>
      <c r="H44" s="362"/>
      <c r="I44" s="363"/>
      <c r="J44" s="363"/>
      <c r="K44" s="363"/>
      <c r="L44" s="364"/>
    </row>
    <row r="45" spans="1:12" ht="16.5">
      <c r="A45" s="360"/>
      <c r="B45" s="367"/>
      <c r="C45" s="360"/>
      <c r="D45" s="362"/>
      <c r="E45" s="362"/>
      <c r="F45" s="362"/>
      <c r="G45" s="362"/>
      <c r="H45" s="362"/>
      <c r="I45" s="363"/>
      <c r="J45" s="363"/>
      <c r="K45" s="363"/>
      <c r="L45" s="364"/>
    </row>
    <row r="46" spans="1:12" ht="16.5">
      <c r="A46" s="360"/>
      <c r="B46" s="367"/>
      <c r="C46" s="360"/>
      <c r="D46" s="362"/>
      <c r="E46" s="362"/>
      <c r="F46" s="362"/>
      <c r="G46" s="362"/>
      <c r="H46" s="362"/>
      <c r="I46" s="363"/>
      <c r="J46" s="363"/>
      <c r="K46" s="363"/>
      <c r="L46" s="364"/>
    </row>
    <row r="47" spans="1:12" ht="16.5">
      <c r="A47" s="360"/>
      <c r="B47" s="361"/>
      <c r="C47" s="361"/>
      <c r="D47" s="362"/>
      <c r="E47" s="362"/>
      <c r="F47" s="362"/>
      <c r="G47" s="362"/>
      <c r="H47" s="362"/>
      <c r="I47" s="363"/>
      <c r="J47" s="363"/>
      <c r="K47" s="363"/>
      <c r="L47" s="364"/>
    </row>
    <row r="48" spans="1:12" ht="16.5">
      <c r="A48" s="360"/>
      <c r="B48" s="367"/>
      <c r="C48" s="360"/>
      <c r="D48" s="362"/>
      <c r="E48" s="362"/>
      <c r="F48" s="362"/>
      <c r="G48" s="362"/>
      <c r="H48" s="362"/>
      <c r="I48" s="363"/>
      <c r="J48" s="363"/>
      <c r="K48" s="363"/>
      <c r="L48" s="364"/>
    </row>
    <row r="49" spans="1:12" ht="16.5">
      <c r="A49" s="360"/>
      <c r="B49" s="367"/>
      <c r="C49" s="360"/>
      <c r="D49" s="362"/>
      <c r="E49" s="362"/>
      <c r="F49" s="362"/>
      <c r="G49" s="362"/>
      <c r="H49" s="362"/>
      <c r="I49" s="363"/>
      <c r="J49" s="363"/>
      <c r="K49" s="363"/>
      <c r="L49" s="364"/>
    </row>
    <row r="50" spans="1:12" ht="16.5">
      <c r="A50" s="360"/>
      <c r="B50" s="367"/>
      <c r="C50" s="360"/>
      <c r="D50" s="362"/>
      <c r="E50" s="362"/>
      <c r="F50" s="362"/>
      <c r="G50" s="362"/>
      <c r="H50" s="362"/>
      <c r="I50" s="363"/>
      <c r="J50" s="363"/>
      <c r="K50" s="363"/>
      <c r="L50" s="364"/>
    </row>
    <row r="51" spans="1:12" ht="16.5">
      <c r="A51" s="360"/>
      <c r="B51" s="367"/>
      <c r="C51" s="360"/>
      <c r="D51" s="362"/>
      <c r="E51" s="362"/>
      <c r="F51" s="362"/>
      <c r="G51" s="362"/>
      <c r="H51" s="362"/>
      <c r="I51" s="363"/>
      <c r="J51" s="363"/>
      <c r="K51" s="363"/>
      <c r="L51" s="364"/>
    </row>
    <row r="52" spans="1:12" ht="16.5">
      <c r="A52" s="360"/>
      <c r="B52" s="367"/>
      <c r="C52" s="360"/>
      <c r="D52" s="362"/>
      <c r="E52" s="362"/>
      <c r="F52" s="362"/>
      <c r="G52" s="362"/>
      <c r="H52" s="362"/>
      <c r="I52" s="363"/>
      <c r="J52" s="363"/>
      <c r="K52" s="363"/>
      <c r="L52" s="364"/>
    </row>
    <row r="53" spans="1:12" ht="16.5">
      <c r="A53" s="360"/>
      <c r="B53" s="367"/>
      <c r="C53" s="360"/>
      <c r="D53" s="362"/>
      <c r="E53" s="362"/>
      <c r="F53" s="362"/>
      <c r="G53" s="362"/>
      <c r="H53" s="362"/>
      <c r="I53" s="363"/>
      <c r="J53" s="363"/>
      <c r="K53" s="363"/>
      <c r="L53" s="364"/>
    </row>
    <row r="54" spans="1:12" ht="16.5">
      <c r="A54" s="360"/>
      <c r="B54" s="367"/>
      <c r="C54" s="360"/>
      <c r="D54" s="362"/>
      <c r="E54" s="362"/>
      <c r="F54" s="362"/>
      <c r="G54" s="362"/>
      <c r="H54" s="362"/>
      <c r="I54" s="363"/>
      <c r="J54" s="363"/>
      <c r="K54" s="363"/>
      <c r="L54" s="364"/>
    </row>
    <row r="55" spans="1:12" ht="16.5">
      <c r="A55" s="360"/>
      <c r="B55" s="367"/>
      <c r="C55" s="360"/>
      <c r="D55" s="362"/>
      <c r="E55" s="362"/>
      <c r="F55" s="362"/>
      <c r="G55" s="362"/>
      <c r="H55" s="362"/>
      <c r="I55" s="363"/>
      <c r="J55" s="363"/>
      <c r="K55" s="363"/>
      <c r="L55" s="364"/>
    </row>
    <row r="56" spans="1:12" ht="16.5">
      <c r="A56" s="360"/>
      <c r="B56" s="367"/>
      <c r="C56" s="360"/>
      <c r="D56" s="362"/>
      <c r="E56" s="362"/>
      <c r="F56" s="362"/>
      <c r="G56" s="362"/>
      <c r="H56" s="362"/>
      <c r="I56" s="363"/>
      <c r="J56" s="363"/>
      <c r="K56" s="363"/>
      <c r="L56" s="364"/>
    </row>
    <row r="57" spans="1:12" ht="16.5">
      <c r="A57" s="360"/>
      <c r="B57" s="367"/>
      <c r="C57" s="360"/>
      <c r="D57" s="362"/>
      <c r="E57" s="362"/>
      <c r="F57" s="362"/>
      <c r="G57" s="362"/>
      <c r="H57" s="362"/>
      <c r="I57" s="363"/>
      <c r="J57" s="363"/>
      <c r="K57" s="363"/>
      <c r="L57" s="364"/>
    </row>
    <row r="58" spans="1:12" ht="16.5">
      <c r="A58" s="360"/>
      <c r="B58" s="367"/>
      <c r="C58" s="360"/>
      <c r="D58" s="362"/>
      <c r="E58" s="362"/>
      <c r="F58" s="362"/>
      <c r="G58" s="362"/>
      <c r="H58" s="362"/>
      <c r="I58" s="363"/>
      <c r="J58" s="363"/>
      <c r="K58" s="363"/>
      <c r="L58" s="364"/>
    </row>
    <row r="59" spans="1:12" ht="16.5">
      <c r="A59" s="360"/>
      <c r="B59" s="361"/>
      <c r="C59" s="361"/>
      <c r="D59" s="362"/>
      <c r="E59" s="362"/>
      <c r="F59" s="362"/>
      <c r="G59" s="362"/>
      <c r="H59" s="362"/>
      <c r="I59" s="363"/>
      <c r="J59" s="363"/>
      <c r="K59" s="363"/>
      <c r="L59" s="364"/>
    </row>
    <row r="60" spans="1:12" ht="16.5">
      <c r="A60" s="360"/>
      <c r="B60" s="367"/>
      <c r="C60" s="360"/>
      <c r="D60" s="362"/>
      <c r="E60" s="362"/>
      <c r="F60" s="362"/>
      <c r="G60" s="362"/>
      <c r="H60" s="362"/>
      <c r="I60" s="363"/>
      <c r="J60" s="363"/>
      <c r="K60" s="363"/>
      <c r="L60" s="364"/>
    </row>
    <row r="61" spans="1:12" ht="16.5">
      <c r="A61" s="360"/>
      <c r="B61" s="367"/>
      <c r="C61" s="360"/>
      <c r="D61" s="362"/>
      <c r="E61" s="362"/>
      <c r="F61" s="362"/>
      <c r="G61" s="362"/>
      <c r="H61" s="362"/>
      <c r="I61" s="363"/>
      <c r="J61" s="363"/>
      <c r="K61" s="363"/>
      <c r="L61" s="364"/>
    </row>
    <row r="62" spans="1:12" ht="16.5">
      <c r="A62" s="360"/>
      <c r="B62" s="367"/>
      <c r="C62" s="360"/>
      <c r="D62" s="362"/>
      <c r="E62" s="362"/>
      <c r="F62" s="362"/>
      <c r="G62" s="362"/>
      <c r="H62" s="362"/>
      <c r="I62" s="363"/>
      <c r="J62" s="363"/>
      <c r="K62" s="363"/>
      <c r="L62" s="364"/>
    </row>
    <row r="63" spans="1:12" ht="16.5">
      <c r="A63" s="360"/>
      <c r="B63" s="367"/>
      <c r="C63" s="360"/>
      <c r="D63" s="362"/>
      <c r="E63" s="362"/>
      <c r="F63" s="362"/>
      <c r="G63" s="362"/>
      <c r="H63" s="362"/>
      <c r="I63" s="363"/>
      <c r="J63" s="363"/>
      <c r="K63" s="363"/>
      <c r="L63" s="364"/>
    </row>
    <row r="64" spans="1:12" ht="16.5">
      <c r="A64" s="360"/>
      <c r="B64" s="367"/>
      <c r="C64" s="360"/>
      <c r="D64" s="362"/>
      <c r="E64" s="362"/>
      <c r="F64" s="362"/>
      <c r="G64" s="362"/>
      <c r="H64" s="362"/>
      <c r="I64" s="363"/>
      <c r="J64" s="363"/>
      <c r="K64" s="363"/>
      <c r="L64" s="364"/>
    </row>
    <row r="65" spans="1:12" ht="16.5">
      <c r="A65" s="360"/>
      <c r="B65" s="367"/>
      <c r="C65" s="360"/>
      <c r="D65" s="362"/>
      <c r="E65" s="362"/>
      <c r="F65" s="362"/>
      <c r="G65" s="362"/>
      <c r="H65" s="362"/>
      <c r="I65" s="363"/>
      <c r="J65" s="363"/>
      <c r="K65" s="363"/>
      <c r="L65" s="364"/>
    </row>
    <row r="66" spans="1:12" ht="16.5">
      <c r="A66" s="360"/>
      <c r="B66" s="367"/>
      <c r="C66" s="360"/>
      <c r="D66" s="362"/>
      <c r="E66" s="362"/>
      <c r="F66" s="362"/>
      <c r="G66" s="362"/>
      <c r="H66" s="362"/>
      <c r="I66" s="363"/>
      <c r="J66" s="363"/>
      <c r="K66" s="363"/>
      <c r="L66" s="364"/>
    </row>
    <row r="67" spans="1:12" ht="16.5">
      <c r="A67" s="360"/>
      <c r="B67" s="367"/>
      <c r="C67" s="360"/>
      <c r="D67" s="362"/>
      <c r="E67" s="362"/>
      <c r="F67" s="362"/>
      <c r="G67" s="362"/>
      <c r="H67" s="362"/>
      <c r="I67" s="363"/>
      <c r="J67" s="363"/>
      <c r="K67" s="363"/>
      <c r="L67" s="364"/>
    </row>
    <row r="68" spans="1:12" ht="16.5">
      <c r="A68" s="360"/>
      <c r="B68" s="367"/>
      <c r="C68" s="360"/>
      <c r="D68" s="362"/>
      <c r="E68" s="362"/>
      <c r="F68" s="362"/>
      <c r="G68" s="362"/>
      <c r="H68" s="362"/>
      <c r="I68" s="363"/>
      <c r="J68" s="363"/>
      <c r="K68" s="363"/>
      <c r="L68" s="364"/>
    </row>
    <row r="69" spans="1:12" ht="16.5">
      <c r="A69" s="360"/>
      <c r="B69" s="367"/>
      <c r="C69" s="360"/>
      <c r="D69" s="362"/>
      <c r="E69" s="362"/>
      <c r="F69" s="362"/>
      <c r="G69" s="362"/>
      <c r="H69" s="362"/>
      <c r="I69" s="363"/>
      <c r="J69" s="363"/>
      <c r="K69" s="363"/>
      <c r="L69" s="364"/>
    </row>
    <row r="70" spans="1:12" ht="16.5">
      <c r="A70" s="360"/>
      <c r="B70" s="367"/>
      <c r="C70" s="360"/>
      <c r="D70" s="362"/>
      <c r="E70" s="362"/>
      <c r="F70" s="362"/>
      <c r="G70" s="362"/>
      <c r="H70" s="362"/>
      <c r="I70" s="363"/>
      <c r="J70" s="363"/>
      <c r="K70" s="363"/>
      <c r="L70" s="364"/>
    </row>
    <row r="71" spans="1:12" ht="16.5">
      <c r="A71" s="360"/>
      <c r="B71" s="367"/>
      <c r="C71" s="366"/>
      <c r="D71" s="362"/>
      <c r="E71" s="362"/>
      <c r="F71" s="362"/>
      <c r="G71" s="362"/>
      <c r="H71" s="362"/>
      <c r="I71" s="363"/>
      <c r="J71" s="363"/>
      <c r="K71" s="363"/>
      <c r="L71" s="364"/>
    </row>
    <row r="72" spans="1:12" ht="16.5">
      <c r="A72" s="360"/>
      <c r="B72" s="367"/>
      <c r="C72" s="360"/>
      <c r="D72" s="362"/>
      <c r="E72" s="362"/>
      <c r="F72" s="362"/>
      <c r="G72" s="362"/>
      <c r="H72" s="362"/>
      <c r="I72" s="363"/>
      <c r="J72" s="363"/>
      <c r="K72" s="363"/>
      <c r="L72" s="364"/>
    </row>
    <row r="73" spans="1:12" ht="16.5">
      <c r="A73" s="360"/>
      <c r="B73" s="367"/>
      <c r="C73" s="360"/>
      <c r="D73" s="362"/>
      <c r="E73" s="362"/>
      <c r="F73" s="362"/>
      <c r="G73" s="362"/>
      <c r="H73" s="362"/>
      <c r="I73" s="363"/>
      <c r="J73" s="363"/>
      <c r="K73" s="363"/>
      <c r="L73" s="364"/>
    </row>
    <row r="74" spans="1:12" ht="16.5">
      <c r="A74" s="360"/>
      <c r="B74" s="367"/>
      <c r="C74" s="360"/>
      <c r="D74" s="362"/>
      <c r="E74" s="362"/>
      <c r="F74" s="362"/>
      <c r="G74" s="362"/>
      <c r="H74" s="362"/>
      <c r="I74" s="363"/>
      <c r="J74" s="363"/>
      <c r="K74" s="363"/>
      <c r="L74" s="364"/>
    </row>
    <row r="75" spans="1:12" ht="16.5">
      <c r="A75" s="360"/>
      <c r="B75" s="367"/>
      <c r="C75" s="360"/>
      <c r="D75" s="362"/>
      <c r="E75" s="362"/>
      <c r="F75" s="362"/>
      <c r="G75" s="362"/>
      <c r="H75" s="362"/>
      <c r="I75" s="363"/>
      <c r="J75" s="363"/>
      <c r="K75" s="363"/>
      <c r="L75" s="364"/>
    </row>
    <row r="76" spans="1:12" ht="16.5">
      <c r="A76" s="360"/>
      <c r="B76" s="367"/>
      <c r="C76" s="360"/>
      <c r="D76" s="362"/>
      <c r="E76" s="362"/>
      <c r="F76" s="362"/>
      <c r="G76" s="362"/>
      <c r="H76" s="362"/>
      <c r="I76" s="363"/>
      <c r="J76" s="363"/>
      <c r="K76" s="363"/>
      <c r="L76" s="364"/>
    </row>
    <row r="77" spans="1:12" ht="16.5">
      <c r="A77" s="360"/>
      <c r="B77" s="367"/>
      <c r="C77" s="360"/>
      <c r="D77" s="362"/>
      <c r="E77" s="362"/>
      <c r="F77" s="362"/>
      <c r="G77" s="362"/>
      <c r="H77" s="362"/>
      <c r="I77" s="363"/>
      <c r="J77" s="363"/>
      <c r="K77" s="363"/>
      <c r="L77" s="364"/>
    </row>
    <row r="78" spans="1:12" ht="16.5">
      <c r="A78" s="360"/>
      <c r="B78" s="367"/>
      <c r="C78" s="360"/>
      <c r="D78" s="362"/>
      <c r="E78" s="362"/>
      <c r="F78" s="362"/>
      <c r="G78" s="362"/>
      <c r="H78" s="362"/>
      <c r="I78" s="363"/>
      <c r="J78" s="363"/>
      <c r="K78" s="363"/>
      <c r="L78" s="364"/>
    </row>
    <row r="79" spans="1:12" ht="16.5">
      <c r="A79" s="360"/>
      <c r="B79" s="367"/>
      <c r="C79" s="360"/>
      <c r="D79" s="362"/>
      <c r="E79" s="362"/>
      <c r="F79" s="362"/>
      <c r="G79" s="362"/>
      <c r="H79" s="362"/>
      <c r="I79" s="363"/>
      <c r="J79" s="363"/>
      <c r="K79" s="363"/>
      <c r="L79" s="364"/>
    </row>
    <row r="80" spans="1:12" ht="16.5">
      <c r="A80" s="360"/>
      <c r="B80" s="367"/>
      <c r="C80" s="360"/>
      <c r="D80" s="362"/>
      <c r="E80" s="362"/>
      <c r="F80" s="362"/>
      <c r="G80" s="362"/>
      <c r="H80" s="362"/>
      <c r="I80" s="363"/>
      <c r="J80" s="363"/>
      <c r="K80" s="363"/>
      <c r="L80" s="364"/>
    </row>
    <row r="81" spans="1:12" ht="16.5">
      <c r="A81" s="360"/>
      <c r="B81" s="367"/>
      <c r="C81" s="360"/>
      <c r="D81" s="362"/>
      <c r="E81" s="362"/>
      <c r="F81" s="362"/>
      <c r="G81" s="362"/>
      <c r="H81" s="362"/>
      <c r="I81" s="363"/>
      <c r="J81" s="363"/>
      <c r="K81" s="363"/>
      <c r="L81" s="364"/>
    </row>
    <row r="82" spans="1:12" ht="16.5">
      <c r="A82" s="360"/>
      <c r="B82" s="367"/>
      <c r="C82" s="360"/>
      <c r="D82" s="362"/>
      <c r="E82" s="362"/>
      <c r="F82" s="362"/>
      <c r="G82" s="362"/>
      <c r="H82" s="362"/>
      <c r="I82" s="363"/>
      <c r="J82" s="363"/>
      <c r="K82" s="363"/>
      <c r="L82" s="364"/>
    </row>
    <row r="83" spans="1:16" ht="16.5">
      <c r="A83" s="360"/>
      <c r="B83" s="367"/>
      <c r="C83" s="360"/>
      <c r="D83" s="362"/>
      <c r="E83" s="362"/>
      <c r="F83" s="362"/>
      <c r="G83" s="362"/>
      <c r="H83" s="362"/>
      <c r="I83" s="363"/>
      <c r="J83" s="363"/>
      <c r="K83" s="363"/>
      <c r="L83" s="368"/>
      <c r="M83" s="349"/>
      <c r="N83" s="349"/>
      <c r="O83" s="349"/>
      <c r="P83" s="349"/>
    </row>
    <row r="84" spans="1:12" ht="16.5">
      <c r="A84" s="360"/>
      <c r="B84" s="367"/>
      <c r="C84" s="360"/>
      <c r="D84" s="362"/>
      <c r="E84" s="362"/>
      <c r="F84" s="362"/>
      <c r="G84" s="362"/>
      <c r="H84" s="362"/>
      <c r="I84" s="363"/>
      <c r="J84" s="363"/>
      <c r="K84" s="363"/>
      <c r="L84" s="364"/>
    </row>
    <row r="85" spans="1:12" ht="16.5">
      <c r="A85" s="360"/>
      <c r="B85" s="367"/>
      <c r="C85" s="360"/>
      <c r="D85" s="362"/>
      <c r="E85" s="362"/>
      <c r="F85" s="362"/>
      <c r="G85" s="362"/>
      <c r="H85" s="362"/>
      <c r="I85" s="363"/>
      <c r="J85" s="363"/>
      <c r="K85" s="363"/>
      <c r="L85" s="364"/>
    </row>
    <row r="86" spans="1:12" ht="16.5">
      <c r="A86" s="360"/>
      <c r="B86" s="367"/>
      <c r="C86" s="360"/>
      <c r="D86" s="362"/>
      <c r="E86" s="362"/>
      <c r="F86" s="362"/>
      <c r="G86" s="362"/>
      <c r="H86" s="362"/>
      <c r="I86" s="363"/>
      <c r="J86" s="363"/>
      <c r="K86" s="363"/>
      <c r="L86" s="364"/>
    </row>
    <row r="87" spans="1:12" ht="16.5">
      <c r="A87" s="360"/>
      <c r="B87" s="367"/>
      <c r="C87" s="360"/>
      <c r="D87" s="362"/>
      <c r="E87" s="362"/>
      <c r="F87" s="362"/>
      <c r="G87" s="362"/>
      <c r="H87" s="362"/>
      <c r="I87" s="363"/>
      <c r="J87" s="363"/>
      <c r="K87" s="363"/>
      <c r="L87" s="364"/>
    </row>
    <row r="88" spans="1:12" ht="16.5">
      <c r="A88" s="360"/>
      <c r="B88" s="367"/>
      <c r="C88" s="360"/>
      <c r="D88" s="362"/>
      <c r="E88" s="362"/>
      <c r="F88" s="362"/>
      <c r="G88" s="362"/>
      <c r="H88" s="362"/>
      <c r="I88" s="363"/>
      <c r="J88" s="363"/>
      <c r="K88" s="363"/>
      <c r="L88" s="364"/>
    </row>
    <row r="89" spans="1:12" ht="16.5">
      <c r="A89" s="360"/>
      <c r="B89" s="367"/>
      <c r="C89" s="360"/>
      <c r="D89" s="362"/>
      <c r="E89" s="362"/>
      <c r="F89" s="362"/>
      <c r="G89" s="362"/>
      <c r="H89" s="362"/>
      <c r="I89" s="363"/>
      <c r="J89" s="363"/>
      <c r="K89" s="363"/>
      <c r="L89" s="364"/>
    </row>
    <row r="90" spans="1:12" ht="16.5">
      <c r="A90" s="360"/>
      <c r="B90" s="361"/>
      <c r="C90" s="361"/>
      <c r="D90" s="362"/>
      <c r="E90" s="362"/>
      <c r="F90" s="362"/>
      <c r="G90" s="362"/>
      <c r="H90" s="362"/>
      <c r="I90" s="363"/>
      <c r="J90" s="363"/>
      <c r="K90" s="363"/>
      <c r="L90" s="364"/>
    </row>
    <row r="91" spans="1:12" ht="16.5">
      <c r="A91" s="360"/>
      <c r="B91" s="367"/>
      <c r="C91" s="360"/>
      <c r="D91" s="362"/>
      <c r="E91" s="362"/>
      <c r="F91" s="362"/>
      <c r="G91" s="362"/>
      <c r="H91" s="362"/>
      <c r="I91" s="363"/>
      <c r="J91" s="363"/>
      <c r="K91" s="363"/>
      <c r="L91" s="364"/>
    </row>
    <row r="92" spans="1:12" ht="16.5">
      <c r="A92" s="360"/>
      <c r="B92" s="367"/>
      <c r="C92" s="360"/>
      <c r="D92" s="362"/>
      <c r="E92" s="362"/>
      <c r="F92" s="362"/>
      <c r="G92" s="362"/>
      <c r="H92" s="362"/>
      <c r="I92" s="363"/>
      <c r="J92" s="363"/>
      <c r="K92" s="363"/>
      <c r="L92" s="364"/>
    </row>
    <row r="93" spans="1:12" ht="16.5">
      <c r="A93" s="360"/>
      <c r="B93" s="361"/>
      <c r="C93" s="361"/>
      <c r="D93" s="362"/>
      <c r="E93" s="362"/>
      <c r="F93" s="362"/>
      <c r="G93" s="362"/>
      <c r="H93" s="362"/>
      <c r="I93" s="363"/>
      <c r="J93" s="363"/>
      <c r="K93" s="363"/>
      <c r="L93" s="364"/>
    </row>
    <row r="94" spans="1:12" ht="16.5">
      <c r="A94" s="360"/>
      <c r="B94" s="361"/>
      <c r="C94" s="361"/>
      <c r="D94" s="362"/>
      <c r="E94" s="362"/>
      <c r="F94" s="362"/>
      <c r="G94" s="362"/>
      <c r="H94" s="362"/>
      <c r="I94" s="363"/>
      <c r="J94" s="363"/>
      <c r="K94" s="363"/>
      <c r="L94" s="364"/>
    </row>
    <row r="95" spans="1:12" ht="16.5">
      <c r="A95" s="360"/>
      <c r="B95" s="367"/>
      <c r="C95" s="360"/>
      <c r="D95" s="362"/>
      <c r="E95" s="362"/>
      <c r="F95" s="362"/>
      <c r="G95" s="362"/>
      <c r="H95" s="362"/>
      <c r="I95" s="363"/>
      <c r="J95" s="363"/>
      <c r="K95" s="363"/>
      <c r="L95" s="364"/>
    </row>
    <row r="96" spans="1:12" ht="16.5">
      <c r="A96" s="360"/>
      <c r="B96" s="367"/>
      <c r="C96" s="360"/>
      <c r="D96" s="362"/>
      <c r="E96" s="362"/>
      <c r="F96" s="362"/>
      <c r="G96" s="362"/>
      <c r="H96" s="362"/>
      <c r="I96" s="363"/>
      <c r="J96" s="363"/>
      <c r="K96" s="363"/>
      <c r="L96" s="364"/>
    </row>
    <row r="97" spans="1:12" ht="16.5">
      <c r="A97" s="360"/>
      <c r="B97" s="367"/>
      <c r="C97" s="360"/>
      <c r="D97" s="362"/>
      <c r="E97" s="362"/>
      <c r="F97" s="362"/>
      <c r="G97" s="362"/>
      <c r="H97" s="362"/>
      <c r="I97" s="363"/>
      <c r="J97" s="363"/>
      <c r="K97" s="363"/>
      <c r="L97" s="364"/>
    </row>
    <row r="98" spans="1:12" ht="16.5">
      <c r="A98" s="360"/>
      <c r="B98" s="367"/>
      <c r="C98" s="360"/>
      <c r="D98" s="362"/>
      <c r="E98" s="362"/>
      <c r="F98" s="362"/>
      <c r="G98" s="362"/>
      <c r="H98" s="362"/>
      <c r="I98" s="363"/>
      <c r="J98" s="363"/>
      <c r="K98" s="363"/>
      <c r="L98" s="364"/>
    </row>
    <row r="99" spans="1:12" ht="16.5">
      <c r="A99" s="360"/>
      <c r="B99" s="367"/>
      <c r="C99" s="360"/>
      <c r="D99" s="362"/>
      <c r="E99" s="362"/>
      <c r="F99" s="362"/>
      <c r="G99" s="362"/>
      <c r="H99" s="362"/>
      <c r="I99" s="363"/>
      <c r="J99" s="363"/>
      <c r="K99" s="363"/>
      <c r="L99" s="364"/>
    </row>
    <row r="100" spans="1:12" ht="16.5">
      <c r="A100" s="360"/>
      <c r="B100" s="367"/>
      <c r="C100" s="360"/>
      <c r="D100" s="362"/>
      <c r="E100" s="362"/>
      <c r="F100" s="362"/>
      <c r="G100" s="362"/>
      <c r="H100" s="362"/>
      <c r="I100" s="363"/>
      <c r="J100" s="363"/>
      <c r="K100" s="363"/>
      <c r="L100" s="364"/>
    </row>
    <row r="101" spans="1:12" ht="16.5">
      <c r="A101" s="360"/>
      <c r="B101" s="367"/>
      <c r="C101" s="360"/>
      <c r="D101" s="362"/>
      <c r="E101" s="362"/>
      <c r="F101" s="362"/>
      <c r="G101" s="362"/>
      <c r="H101" s="362"/>
      <c r="I101" s="363"/>
      <c r="J101" s="363"/>
      <c r="K101" s="363"/>
      <c r="L101" s="364"/>
    </row>
    <row r="102" spans="1:12" ht="16.5">
      <c r="A102" s="360"/>
      <c r="B102" s="367"/>
      <c r="C102" s="360"/>
      <c r="D102" s="362"/>
      <c r="E102" s="362"/>
      <c r="F102" s="362"/>
      <c r="G102" s="362"/>
      <c r="H102" s="362"/>
      <c r="I102" s="363"/>
      <c r="J102" s="363"/>
      <c r="K102" s="363"/>
      <c r="L102" s="364"/>
    </row>
    <row r="103" spans="1:12" ht="16.5">
      <c r="A103" s="364"/>
      <c r="B103" s="364"/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</row>
    <row r="104" spans="1:12" ht="16.5">
      <c r="A104" s="364"/>
      <c r="B104" s="364"/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</row>
    <row r="105" spans="1:12" ht="16.5">
      <c r="A105" s="364"/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</row>
    <row r="106" spans="1:12" ht="16.5">
      <c r="A106" s="364"/>
      <c r="B106" s="364"/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</row>
    <row r="107" spans="1:12" ht="16.5">
      <c r="A107" s="364"/>
      <c r="B107" s="364"/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</row>
    <row r="108" spans="1:12" ht="16.5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</row>
    <row r="109" spans="1:12" ht="16.5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</row>
    <row r="110" spans="1:12" ht="16.5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</row>
    <row r="111" spans="1:12" ht="16.5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</row>
    <row r="112" spans="1:12" ht="16.5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</row>
    <row r="113" spans="1:12" ht="16.5">
      <c r="A113" s="364"/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</row>
    <row r="114" spans="1:12" ht="16.5">
      <c r="A114" s="364"/>
      <c r="B114" s="364"/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</row>
    <row r="115" spans="1:12" ht="16.5">
      <c r="A115" s="364"/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</row>
  </sheetData>
  <sheetProtection/>
  <mergeCells count="7">
    <mergeCell ref="I4:K4"/>
    <mergeCell ref="D4:F4"/>
    <mergeCell ref="G4:H4"/>
    <mergeCell ref="B2:K2"/>
    <mergeCell ref="A4:A5"/>
    <mergeCell ref="B4:B5"/>
    <mergeCell ref="C4:C5"/>
  </mergeCells>
  <printOptions/>
  <pageMargins left="0.2362204724409449" right="0.2" top="0.54" bottom="0.66" header="0.17" footer="0.19"/>
  <pageSetup horizontalDpi="600" verticalDpi="600" orientation="landscape" paperSize="9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22"/>
  <sheetViews>
    <sheetView zoomScalePageLayoutView="0"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13" sqref="L13"/>
    </sheetView>
  </sheetViews>
  <sheetFormatPr defaultColWidth="8.72265625" defaultRowHeight="16.5"/>
  <cols>
    <col min="1" max="1" width="32.18359375" style="0" customWidth="1"/>
    <col min="2" max="2" width="7.0859375" style="0" customWidth="1"/>
    <col min="3" max="3" width="6.99609375" style="0" customWidth="1"/>
    <col min="4" max="4" width="8.8125" style="50" customWidth="1"/>
    <col min="5" max="5" width="7.99609375" style="0" customWidth="1"/>
    <col min="6" max="6" width="8.0859375" style="0" customWidth="1"/>
    <col min="7" max="7" width="8.36328125" style="0" customWidth="1"/>
    <col min="8" max="8" width="8.453125" style="0" customWidth="1"/>
    <col min="9" max="9" width="5.99609375" style="0" customWidth="1"/>
    <col min="10" max="10" width="5.90625" style="0" customWidth="1"/>
    <col min="11" max="11" width="7.99609375" style="0" customWidth="1"/>
  </cols>
  <sheetData>
    <row r="1" ht="16.5">
      <c r="A1" s="27" t="s">
        <v>7</v>
      </c>
    </row>
    <row r="2" spans="1:11" ht="21" customHeight="1">
      <c r="A2" s="25" t="s">
        <v>170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7:11" ht="19.5" customHeight="1">
      <c r="G3" s="28"/>
      <c r="J3" s="399" t="s">
        <v>8</v>
      </c>
      <c r="K3" s="399"/>
    </row>
    <row r="4" spans="1:11" s="28" customFormat="1" ht="16.5" customHeight="1">
      <c r="A4" s="400" t="s">
        <v>13</v>
      </c>
      <c r="B4" s="404" t="s">
        <v>133</v>
      </c>
      <c r="C4" s="405"/>
      <c r="D4" s="403" t="s">
        <v>171</v>
      </c>
      <c r="E4" s="403" t="s">
        <v>172</v>
      </c>
      <c r="F4" s="400" t="s">
        <v>173</v>
      </c>
      <c r="G4" s="412" t="s">
        <v>174</v>
      </c>
      <c r="H4" s="22" t="s">
        <v>9</v>
      </c>
      <c r="I4" s="22"/>
      <c r="J4" s="22"/>
      <c r="K4" s="22"/>
    </row>
    <row r="5" spans="1:11" s="28" customFormat="1" ht="16.5" customHeight="1">
      <c r="A5" s="401"/>
      <c r="B5" s="406"/>
      <c r="C5" s="407"/>
      <c r="D5" s="403"/>
      <c r="E5" s="403"/>
      <c r="F5" s="401"/>
      <c r="G5" s="412"/>
      <c r="H5" s="400" t="s">
        <v>175</v>
      </c>
      <c r="I5" s="404" t="s">
        <v>176</v>
      </c>
      <c r="J5" s="405"/>
      <c r="K5" s="400" t="s">
        <v>177</v>
      </c>
    </row>
    <row r="6" spans="1:11" s="28" customFormat="1" ht="16.5">
      <c r="A6" s="401"/>
      <c r="B6" s="406"/>
      <c r="C6" s="407"/>
      <c r="D6" s="403"/>
      <c r="E6" s="403"/>
      <c r="F6" s="401"/>
      <c r="G6" s="412"/>
      <c r="H6" s="401"/>
      <c r="I6" s="406"/>
      <c r="J6" s="407"/>
      <c r="K6" s="401"/>
    </row>
    <row r="7" spans="1:11" s="28" customFormat="1" ht="16.5">
      <c r="A7" s="401"/>
      <c r="B7" s="406"/>
      <c r="C7" s="407"/>
      <c r="D7" s="403"/>
      <c r="E7" s="403"/>
      <c r="F7" s="401"/>
      <c r="G7" s="412"/>
      <c r="H7" s="401"/>
      <c r="I7" s="406"/>
      <c r="J7" s="407"/>
      <c r="K7" s="401"/>
    </row>
    <row r="8" spans="1:11" s="28" customFormat="1" ht="16.5">
      <c r="A8" s="402"/>
      <c r="B8" s="408"/>
      <c r="C8" s="409"/>
      <c r="D8" s="403"/>
      <c r="E8" s="403"/>
      <c r="F8" s="402"/>
      <c r="G8" s="412"/>
      <c r="H8" s="402"/>
      <c r="I8" s="408"/>
      <c r="J8" s="409"/>
      <c r="K8" s="402"/>
    </row>
    <row r="9" spans="1:11" s="28" customFormat="1" ht="16.5">
      <c r="A9" s="44" t="s">
        <v>10</v>
      </c>
      <c r="B9" s="410">
        <v>1</v>
      </c>
      <c r="C9" s="411"/>
      <c r="D9" s="44">
        <v>2</v>
      </c>
      <c r="E9" s="44">
        <v>3</v>
      </c>
      <c r="F9" s="44">
        <v>4</v>
      </c>
      <c r="G9" s="44">
        <v>5</v>
      </c>
      <c r="H9" s="44">
        <v>6</v>
      </c>
      <c r="I9" s="410">
        <v>7</v>
      </c>
      <c r="J9" s="411"/>
      <c r="K9" s="44">
        <v>8</v>
      </c>
    </row>
    <row r="10" spans="1:16" s="7" customFormat="1" ht="27.75" customHeight="1">
      <c r="A10" s="26" t="s">
        <v>27</v>
      </c>
      <c r="B10" s="51">
        <v>123400</v>
      </c>
      <c r="C10" s="51">
        <v>124550</v>
      </c>
      <c r="D10" s="239">
        <v>10033.240000000002</v>
      </c>
      <c r="E10" s="240">
        <v>9935.622548</v>
      </c>
      <c r="F10" s="240">
        <v>29513.702548</v>
      </c>
      <c r="G10" s="240">
        <v>26337.707000000002</v>
      </c>
      <c r="H10" s="241">
        <f>E10/D10*100</f>
        <v>99.0270595341086</v>
      </c>
      <c r="I10" s="241">
        <f>F10/B10*100</f>
        <v>23.917100930307942</v>
      </c>
      <c r="J10" s="242">
        <f>F10/C10*100</f>
        <v>23.696268605379366</v>
      </c>
      <c r="K10" s="243">
        <f>F10/G10*100</f>
        <v>112.05873976804435</v>
      </c>
      <c r="L10" s="59">
        <v>9.95</v>
      </c>
      <c r="M10" s="7">
        <f>9.95/9.935*100</f>
        <v>100.15098137896325</v>
      </c>
      <c r="N10" s="28">
        <f>29.5+L10</f>
        <v>39.45</v>
      </c>
      <c r="O10" s="7">
        <v>35.127</v>
      </c>
      <c r="P10" s="7">
        <f>N10/O10*100</f>
        <v>112.30677256810999</v>
      </c>
    </row>
    <row r="11" spans="1:14" s="7" customFormat="1" ht="27.75" customHeight="1">
      <c r="A11" s="10" t="s">
        <v>28</v>
      </c>
      <c r="B11" s="52"/>
      <c r="C11" s="52"/>
      <c r="D11" s="244"/>
      <c r="E11" s="244"/>
      <c r="F11" s="244"/>
      <c r="G11" s="244"/>
      <c r="H11" s="245"/>
      <c r="I11" s="245"/>
      <c r="J11" s="246"/>
      <c r="K11" s="247"/>
      <c r="L11" s="60">
        <v>8.909</v>
      </c>
      <c r="N11" s="28"/>
    </row>
    <row r="12" spans="1:12" s="8" customFormat="1" ht="27.75" customHeight="1">
      <c r="A12" s="9" t="s">
        <v>0</v>
      </c>
      <c r="B12" s="54"/>
      <c r="C12" s="54"/>
      <c r="D12" s="248">
        <v>854.5</v>
      </c>
      <c r="E12" s="249">
        <v>842.3661</v>
      </c>
      <c r="F12" s="249">
        <v>2533.3661</v>
      </c>
      <c r="G12" s="249">
        <v>2286.15</v>
      </c>
      <c r="H12" s="63">
        <f aca="true" t="shared" si="0" ref="H12:H19">E12/D12*100</f>
        <v>98.57999999999998</v>
      </c>
      <c r="I12" s="63"/>
      <c r="J12" s="250"/>
      <c r="K12" s="237">
        <f aca="true" t="shared" si="1" ref="K12:K19">F12/G12*100</f>
        <v>110.8136430242985</v>
      </c>
      <c r="L12" s="61">
        <f>L10/L11*100</f>
        <v>111.68481311033784</v>
      </c>
    </row>
    <row r="13" spans="1:12" s="8" customFormat="1" ht="27.75" customHeight="1">
      <c r="A13" s="9" t="s">
        <v>1</v>
      </c>
      <c r="B13" s="54"/>
      <c r="C13" s="54"/>
      <c r="D13" s="251">
        <v>8941.940000000002</v>
      </c>
      <c r="E13" s="251">
        <v>8862.684288</v>
      </c>
      <c r="F13" s="251">
        <v>26283.514288000002</v>
      </c>
      <c r="G13" s="251">
        <v>23419.527000000002</v>
      </c>
      <c r="H13" s="63">
        <f t="shared" si="0"/>
        <v>99.11366312008354</v>
      </c>
      <c r="I13" s="63"/>
      <c r="J13" s="250"/>
      <c r="K13" s="237">
        <f t="shared" si="1"/>
        <v>112.2290569233102</v>
      </c>
      <c r="L13" s="62"/>
    </row>
    <row r="14" spans="1:12" s="8" customFormat="1" ht="27.75" customHeight="1">
      <c r="A14" s="9" t="s">
        <v>2</v>
      </c>
      <c r="B14" s="54"/>
      <c r="C14" s="54"/>
      <c r="D14" s="248">
        <v>236.8</v>
      </c>
      <c r="E14" s="249">
        <v>230.57216000000003</v>
      </c>
      <c r="F14" s="249">
        <v>696.8221599999999</v>
      </c>
      <c r="G14" s="249">
        <v>632.03</v>
      </c>
      <c r="H14" s="63">
        <f t="shared" si="0"/>
        <v>97.37</v>
      </c>
      <c r="I14" s="63"/>
      <c r="J14" s="250"/>
      <c r="K14" s="237">
        <f t="shared" si="1"/>
        <v>110.25143743176749</v>
      </c>
      <c r="L14" s="61"/>
    </row>
    <row r="15" spans="1:12" ht="27.75" customHeight="1">
      <c r="A15" s="4" t="s">
        <v>29</v>
      </c>
      <c r="B15" s="52"/>
      <c r="C15" s="52"/>
      <c r="D15" s="244"/>
      <c r="E15" s="244"/>
      <c r="F15" s="244"/>
      <c r="G15" s="244"/>
      <c r="H15" s="63"/>
      <c r="I15" s="245"/>
      <c r="J15" s="246"/>
      <c r="K15" s="247"/>
      <c r="L15" s="28"/>
    </row>
    <row r="16" spans="1:11" ht="27.75" customHeight="1">
      <c r="A16" s="3" t="s">
        <v>3</v>
      </c>
      <c r="B16" s="53"/>
      <c r="C16" s="53"/>
      <c r="D16" s="252">
        <v>7768.16</v>
      </c>
      <c r="E16" s="252">
        <v>7650.12</v>
      </c>
      <c r="F16" s="252">
        <v>22752.885</v>
      </c>
      <c r="G16" s="252">
        <v>20209.530000000002</v>
      </c>
      <c r="H16" s="63">
        <f t="shared" si="0"/>
        <v>98.48046384214537</v>
      </c>
      <c r="I16" s="63"/>
      <c r="J16" s="250"/>
      <c r="K16" s="237">
        <f t="shared" si="1"/>
        <v>112.58492899142136</v>
      </c>
    </row>
    <row r="17" spans="1:11" ht="27.75" customHeight="1">
      <c r="A17" s="3" t="s">
        <v>4</v>
      </c>
      <c r="B17" s="53"/>
      <c r="C17" s="53"/>
      <c r="D17" s="252">
        <v>847.28</v>
      </c>
      <c r="E17" s="252">
        <v>854.4818799999999</v>
      </c>
      <c r="F17" s="252">
        <v>2530.80188</v>
      </c>
      <c r="G17" s="252">
        <v>2407.25</v>
      </c>
      <c r="H17" s="63">
        <f t="shared" si="0"/>
        <v>100.85</v>
      </c>
      <c r="I17" s="63"/>
      <c r="J17" s="250"/>
      <c r="K17" s="237">
        <f t="shared" si="1"/>
        <v>105.13249060130853</v>
      </c>
    </row>
    <row r="18" spans="1:11" ht="27.75" customHeight="1">
      <c r="A18" s="6" t="s">
        <v>6</v>
      </c>
      <c r="B18" s="53"/>
      <c r="C18" s="53"/>
      <c r="D18" s="253">
        <v>5.86</v>
      </c>
      <c r="E18" s="253">
        <v>5.808432000000001</v>
      </c>
      <c r="F18" s="253">
        <v>17.663432</v>
      </c>
      <c r="G18" s="253">
        <v>16.747</v>
      </c>
      <c r="H18" s="63">
        <f t="shared" si="0"/>
        <v>99.12</v>
      </c>
      <c r="I18" s="63"/>
      <c r="J18" s="250"/>
      <c r="K18" s="237">
        <f t="shared" si="1"/>
        <v>105.47221591926912</v>
      </c>
    </row>
    <row r="19" spans="1:11" ht="27.75" customHeight="1">
      <c r="A19" s="5" t="s">
        <v>5</v>
      </c>
      <c r="B19" s="55"/>
      <c r="C19" s="55"/>
      <c r="D19" s="254">
        <v>1411.94</v>
      </c>
      <c r="E19" s="254">
        <v>1425.212236</v>
      </c>
      <c r="F19" s="254">
        <v>4212.352236000001</v>
      </c>
      <c r="G19" s="254">
        <v>3704.1800000000003</v>
      </c>
      <c r="H19" s="64">
        <f t="shared" si="0"/>
        <v>100.94000000000001</v>
      </c>
      <c r="I19" s="64"/>
      <c r="J19" s="255"/>
      <c r="K19" s="238">
        <f t="shared" si="1"/>
        <v>113.71888612324457</v>
      </c>
    </row>
    <row r="20" ht="16.5">
      <c r="A20" s="127" t="s">
        <v>161</v>
      </c>
    </row>
    <row r="22" ht="16.5">
      <c r="F22" s="200"/>
    </row>
  </sheetData>
  <sheetProtection/>
  <mergeCells count="12">
    <mergeCell ref="I9:J9"/>
    <mergeCell ref="B9:C9"/>
    <mergeCell ref="E4:E8"/>
    <mergeCell ref="A4:A8"/>
    <mergeCell ref="G4:G8"/>
    <mergeCell ref="H5:H8"/>
    <mergeCell ref="J3:K3"/>
    <mergeCell ref="K5:K8"/>
    <mergeCell ref="D4:D8"/>
    <mergeCell ref="B4:C8"/>
    <mergeCell ref="F4:F8"/>
    <mergeCell ref="I5:J8"/>
  </mergeCells>
  <printOptions/>
  <pageMargins left="0.51" right="0.16" top="0.63" bottom="0.47" header="0.26" footer="0.16"/>
  <pageSetup firstPageNumber="6" useFirstPageNumber="1" horizontalDpi="180" verticalDpi="18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D69"/>
  <sheetViews>
    <sheetView tabSelected="1" zoomScalePageLayoutView="0" workbookViewId="0" topLeftCell="A1">
      <pane xSplit="1" ySplit="7" topLeftCell="B3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8.72265625" defaultRowHeight="16.5"/>
  <cols>
    <col min="1" max="1" width="36.36328125" style="77" customWidth="1"/>
    <col min="2" max="2" width="6.0859375" style="79" bestFit="1" customWidth="1"/>
    <col min="3" max="4" width="5.90625" style="77" bestFit="1" customWidth="1"/>
    <col min="5" max="5" width="6.36328125" style="77" customWidth="1"/>
    <col min="6" max="6" width="6.6328125" style="77" bestFit="1" customWidth="1"/>
    <col min="7" max="7" width="6.6328125" style="77" customWidth="1"/>
    <col min="8" max="8" width="7.8125" style="77" bestFit="1" customWidth="1"/>
    <col min="9" max="9" width="7.36328125" style="77" customWidth="1"/>
    <col min="10" max="10" width="7.8125" style="77" bestFit="1" customWidth="1"/>
    <col min="11" max="11" width="5.36328125" style="172" hidden="1" customWidth="1"/>
    <col min="12" max="12" width="9.36328125" style="172" hidden="1" customWidth="1"/>
    <col min="13" max="13" width="7.0859375" style="77" hidden="1" customWidth="1"/>
    <col min="14" max="14" width="8.453125" style="172" hidden="1" customWidth="1"/>
    <col min="15" max="15" width="5.453125" style="77" customWidth="1"/>
    <col min="16" max="16" width="6.453125" style="77" bestFit="1" customWidth="1"/>
    <col min="17" max="17" width="4.18359375" style="77" hidden="1" customWidth="1"/>
    <col min="18" max="18" width="5.8125" style="77" hidden="1" customWidth="1"/>
    <col min="19" max="19" width="5.54296875" style="77" customWidth="1"/>
    <col min="20" max="20" width="5.8125" style="77" bestFit="1" customWidth="1"/>
    <col min="21" max="22" width="7.99609375" style="215" hidden="1" customWidth="1"/>
    <col min="23" max="23" width="6.99609375" style="182" hidden="1" customWidth="1"/>
    <col min="24" max="24" width="8.8125" style="182" hidden="1" customWidth="1"/>
    <col min="25" max="25" width="6.8125" style="182" hidden="1" customWidth="1"/>
    <col min="26" max="26" width="5.6328125" style="182" hidden="1" customWidth="1"/>
    <col min="27" max="27" width="12.6328125" style="172" hidden="1" customWidth="1"/>
    <col min="28" max="28" width="9.18359375" style="77" hidden="1" customWidth="1"/>
    <col min="29" max="29" width="11.6328125" style="77" bestFit="1" customWidth="1"/>
    <col min="30" max="16384" width="8.90625" style="77" customWidth="1"/>
  </cols>
  <sheetData>
    <row r="1" spans="1:6" ht="16.5">
      <c r="A1" s="76" t="s">
        <v>7</v>
      </c>
      <c r="B1" s="81"/>
      <c r="C1" s="76"/>
      <c r="D1" s="76"/>
      <c r="E1" s="76"/>
      <c r="F1" s="76"/>
    </row>
    <row r="2" spans="1:19" ht="18.75">
      <c r="A2" s="434" t="s">
        <v>211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78"/>
    </row>
    <row r="3" ht="16.5">
      <c r="J3" s="202"/>
    </row>
    <row r="4" spans="1:27" s="102" customFormat="1" ht="30" customHeight="1">
      <c r="A4" s="424" t="s">
        <v>13</v>
      </c>
      <c r="B4" s="424" t="s">
        <v>36</v>
      </c>
      <c r="C4" s="427" t="s">
        <v>133</v>
      </c>
      <c r="D4" s="428"/>
      <c r="E4" s="433" t="s">
        <v>178</v>
      </c>
      <c r="F4" s="433"/>
      <c r="G4" s="433" t="s">
        <v>179</v>
      </c>
      <c r="H4" s="433"/>
      <c r="I4" s="433" t="s">
        <v>180</v>
      </c>
      <c r="J4" s="433"/>
      <c r="K4" s="417" t="s">
        <v>132</v>
      </c>
      <c r="L4" s="417"/>
      <c r="M4" s="433" t="s">
        <v>130</v>
      </c>
      <c r="N4" s="433"/>
      <c r="O4" s="437" t="s">
        <v>9</v>
      </c>
      <c r="P4" s="438"/>
      <c r="Q4" s="438"/>
      <c r="R4" s="438"/>
      <c r="S4" s="438"/>
      <c r="T4" s="439"/>
      <c r="U4" s="216"/>
      <c r="V4" s="216"/>
      <c r="W4" s="183"/>
      <c r="X4" s="183"/>
      <c r="Y4" s="183"/>
      <c r="Z4" s="183"/>
      <c r="AA4" s="307"/>
    </row>
    <row r="5" spans="1:27" s="102" customFormat="1" ht="36" customHeight="1">
      <c r="A5" s="425"/>
      <c r="B5" s="425"/>
      <c r="C5" s="429"/>
      <c r="D5" s="430"/>
      <c r="E5" s="422" t="s">
        <v>76</v>
      </c>
      <c r="F5" s="422" t="s">
        <v>87</v>
      </c>
      <c r="G5" s="422" t="s">
        <v>76</v>
      </c>
      <c r="H5" s="422" t="s">
        <v>87</v>
      </c>
      <c r="I5" s="422" t="s">
        <v>76</v>
      </c>
      <c r="J5" s="422" t="s">
        <v>87</v>
      </c>
      <c r="K5" s="418" t="s">
        <v>76</v>
      </c>
      <c r="L5" s="418" t="s">
        <v>87</v>
      </c>
      <c r="M5" s="422" t="s">
        <v>76</v>
      </c>
      <c r="N5" s="422" t="s">
        <v>87</v>
      </c>
      <c r="O5" s="435" t="s">
        <v>182</v>
      </c>
      <c r="P5" s="436"/>
      <c r="Q5" s="435" t="s">
        <v>131</v>
      </c>
      <c r="R5" s="436"/>
      <c r="S5" s="435" t="s">
        <v>181</v>
      </c>
      <c r="T5" s="436"/>
      <c r="U5" s="215" t="s">
        <v>137</v>
      </c>
      <c r="V5" s="215"/>
      <c r="W5" s="201" t="s">
        <v>147</v>
      </c>
      <c r="X5" s="183"/>
      <c r="Y5" s="190"/>
      <c r="Z5" s="186"/>
      <c r="AA5" s="307"/>
    </row>
    <row r="6" spans="1:27" s="80" customFormat="1" ht="16.5">
      <c r="A6" s="426"/>
      <c r="B6" s="426"/>
      <c r="C6" s="431"/>
      <c r="D6" s="432"/>
      <c r="E6" s="423"/>
      <c r="F6" s="423"/>
      <c r="G6" s="423"/>
      <c r="H6" s="423"/>
      <c r="I6" s="423"/>
      <c r="J6" s="423"/>
      <c r="K6" s="419"/>
      <c r="L6" s="419"/>
      <c r="M6" s="423"/>
      <c r="N6" s="423"/>
      <c r="O6" s="130" t="s">
        <v>76</v>
      </c>
      <c r="P6" s="130" t="s">
        <v>87</v>
      </c>
      <c r="Q6" s="130" t="s">
        <v>76</v>
      </c>
      <c r="R6" s="130" t="s">
        <v>87</v>
      </c>
      <c r="S6" s="130" t="s">
        <v>76</v>
      </c>
      <c r="T6" s="130" t="s">
        <v>87</v>
      </c>
      <c r="U6" s="217"/>
      <c r="V6" s="217"/>
      <c r="W6" s="189"/>
      <c r="X6" s="183"/>
      <c r="Y6" s="183"/>
      <c r="Z6" s="183"/>
      <c r="AA6" s="308" t="s">
        <v>162</v>
      </c>
    </row>
    <row r="7" spans="1:27" s="80" customFormat="1" ht="16.5">
      <c r="A7" s="42" t="s">
        <v>10</v>
      </c>
      <c r="B7" s="42" t="s">
        <v>11</v>
      </c>
      <c r="C7" s="415">
        <v>1</v>
      </c>
      <c r="D7" s="416"/>
      <c r="E7" s="415">
        <v>2</v>
      </c>
      <c r="F7" s="416"/>
      <c r="G7" s="415">
        <v>3</v>
      </c>
      <c r="H7" s="416"/>
      <c r="I7" s="415">
        <v>4</v>
      </c>
      <c r="J7" s="416"/>
      <c r="K7" s="420">
        <v>5</v>
      </c>
      <c r="L7" s="421"/>
      <c r="M7" s="413">
        <v>6</v>
      </c>
      <c r="N7" s="414"/>
      <c r="O7" s="415">
        <v>4</v>
      </c>
      <c r="P7" s="416"/>
      <c r="Q7" s="415">
        <v>8</v>
      </c>
      <c r="R7" s="416"/>
      <c r="S7" s="415">
        <v>5</v>
      </c>
      <c r="T7" s="416"/>
      <c r="U7" s="216"/>
      <c r="V7" s="216"/>
      <c r="W7" s="183"/>
      <c r="X7" s="183"/>
      <c r="Y7" s="183"/>
      <c r="Z7" s="183"/>
      <c r="AA7" s="308"/>
    </row>
    <row r="8" spans="1:23" ht="21" customHeight="1">
      <c r="A8" s="97" t="s">
        <v>88</v>
      </c>
      <c r="B8" s="86"/>
      <c r="C8" s="88"/>
      <c r="D8" s="87"/>
      <c r="E8" s="279"/>
      <c r="F8" s="279"/>
      <c r="G8" s="279"/>
      <c r="H8" s="280"/>
      <c r="I8" s="280"/>
      <c r="J8" s="281"/>
      <c r="K8" s="282"/>
      <c r="L8" s="282"/>
      <c r="M8" s="279"/>
      <c r="N8" s="279"/>
      <c r="O8" s="279"/>
      <c r="P8" s="279"/>
      <c r="Q8" s="279"/>
      <c r="R8" s="279"/>
      <c r="S8" s="279"/>
      <c r="T8" s="279"/>
      <c r="U8" s="218"/>
      <c r="V8" s="218"/>
      <c r="W8" s="203"/>
    </row>
    <row r="9" spans="1:29" ht="21" customHeight="1">
      <c r="A9" s="98" t="s">
        <v>126</v>
      </c>
      <c r="B9" s="133" t="s">
        <v>98</v>
      </c>
      <c r="C9" s="283">
        <v>14300</v>
      </c>
      <c r="D9" s="283">
        <v>14600</v>
      </c>
      <c r="E9" s="283"/>
      <c r="F9" s="304">
        <f>864141/1000</f>
        <v>864.141</v>
      </c>
      <c r="G9" s="283"/>
      <c r="H9" s="304">
        <f>1190786/1000</f>
        <v>1190.786</v>
      </c>
      <c r="I9" s="283"/>
      <c r="J9" s="304">
        <f>3235914/1000</f>
        <v>3235.914</v>
      </c>
      <c r="K9" s="284"/>
      <c r="L9" s="285">
        <v>1027707</v>
      </c>
      <c r="M9" s="286"/>
      <c r="N9" s="286">
        <v>10915.427</v>
      </c>
      <c r="O9" s="287"/>
      <c r="P9" s="287">
        <f>H9/F9*100</f>
        <v>137.79996551488705</v>
      </c>
      <c r="Q9" s="287"/>
      <c r="R9" s="287">
        <f>H9/L9*100</f>
        <v>0.11586823871006036</v>
      </c>
      <c r="S9" s="287"/>
      <c r="T9" s="287">
        <v>112.16635169591989</v>
      </c>
      <c r="U9" s="222">
        <v>9793.710000000001</v>
      </c>
      <c r="V9" s="222">
        <f>H9/U9*100</f>
        <v>12.158681439413664</v>
      </c>
      <c r="W9" s="221"/>
      <c r="X9" s="28"/>
      <c r="Y9" s="184"/>
      <c r="Z9" s="185"/>
      <c r="AA9" s="311">
        <f>J9/T9*100</f>
        <v>2884.9240000000004</v>
      </c>
      <c r="AB9" s="331">
        <f>J9/AA9*100</f>
        <v>112.16635169591989</v>
      </c>
      <c r="AC9" s="336"/>
    </row>
    <row r="10" spans="1:30" s="89" customFormat="1" ht="21" customHeight="1">
      <c r="A10" s="131" t="s">
        <v>89</v>
      </c>
      <c r="B10" s="134" t="s">
        <v>98</v>
      </c>
      <c r="C10" s="104"/>
      <c r="D10" s="104"/>
      <c r="E10" s="288"/>
      <c r="F10" s="305">
        <f>216559/1000</f>
        <v>216.559</v>
      </c>
      <c r="G10" s="288"/>
      <c r="H10" s="305">
        <f>266240/1000</f>
        <v>266.24</v>
      </c>
      <c r="I10" s="288"/>
      <c r="J10" s="305">
        <f>670029/1000</f>
        <v>670.029</v>
      </c>
      <c r="K10" s="289"/>
      <c r="L10" s="290">
        <f>L9-L13</f>
        <v>131924</v>
      </c>
      <c r="M10" s="291"/>
      <c r="N10" s="291">
        <f>N9-N13</f>
        <v>1610.354999999996</v>
      </c>
      <c r="O10" s="287"/>
      <c r="P10" s="292">
        <f>H10/F10*100</f>
        <v>122.94109226584904</v>
      </c>
      <c r="Q10" s="293"/>
      <c r="R10" s="292">
        <f aca="true" t="shared" si="0" ref="Q10:R35">H10/L10*100</f>
        <v>0.2018131651556957</v>
      </c>
      <c r="S10" s="293"/>
      <c r="T10" s="292">
        <f>J10/AA10*100</f>
        <v>110.73779581825893</v>
      </c>
      <c r="U10" s="222">
        <v>1645.4700000000012</v>
      </c>
      <c r="V10" s="222">
        <f>H10/U10*100</f>
        <v>16.180179523175738</v>
      </c>
      <c r="W10" s="228"/>
      <c r="X10" s="28"/>
      <c r="Y10" s="184"/>
      <c r="Z10" s="185"/>
      <c r="AA10" s="311">
        <f>AA9-AA13</f>
        <v>605.0590000000007</v>
      </c>
      <c r="AB10" s="331">
        <f>J10/AA10*100</f>
        <v>110.73779581825893</v>
      </c>
      <c r="AC10" s="336"/>
      <c r="AD10" s="77"/>
    </row>
    <row r="11" spans="1:29" ht="21" customHeight="1" hidden="1">
      <c r="A11" s="132" t="s">
        <v>91</v>
      </c>
      <c r="B11" s="135" t="s">
        <v>98</v>
      </c>
      <c r="C11" s="105"/>
      <c r="D11" s="105"/>
      <c r="E11" s="294"/>
      <c r="F11" s="335"/>
      <c r="G11" s="295"/>
      <c r="H11" s="335"/>
      <c r="I11" s="295"/>
      <c r="J11" s="335"/>
      <c r="K11" s="296"/>
      <c r="L11" s="296"/>
      <c r="M11" s="297"/>
      <c r="N11" s="297"/>
      <c r="O11" s="287"/>
      <c r="P11" s="292" t="e">
        <f>H11/F11*100</f>
        <v>#DIV/0!</v>
      </c>
      <c r="Q11" s="298"/>
      <c r="R11" s="292" t="e">
        <f t="shared" si="0"/>
        <v>#DIV/0!</v>
      </c>
      <c r="S11" s="298"/>
      <c r="T11" s="292" t="e">
        <f>J11/N11*100</f>
        <v>#DIV/0!</v>
      </c>
      <c r="U11" s="222"/>
      <c r="V11" s="222" t="e">
        <f>H11/U11*100</f>
        <v>#DIV/0!</v>
      </c>
      <c r="W11" s="221"/>
      <c r="X11" s="184"/>
      <c r="Y11" s="184"/>
      <c r="Z11" s="185"/>
      <c r="AA11" s="311" t="e">
        <f>J11/T11*100</f>
        <v>#DIV/0!</v>
      </c>
      <c r="AB11" s="331" t="e">
        <f>J11/AA11*100</f>
        <v>#DIV/0!</v>
      </c>
      <c r="AC11" s="336"/>
    </row>
    <row r="12" spans="1:29" ht="21" customHeight="1" hidden="1">
      <c r="A12" s="132" t="s">
        <v>90</v>
      </c>
      <c r="B12" s="135" t="s">
        <v>98</v>
      </c>
      <c r="C12" s="105"/>
      <c r="D12" s="105"/>
      <c r="E12" s="294"/>
      <c r="F12" s="335"/>
      <c r="G12" s="295"/>
      <c r="H12" s="335"/>
      <c r="I12" s="295"/>
      <c r="J12" s="335"/>
      <c r="K12" s="296"/>
      <c r="L12" s="296"/>
      <c r="M12" s="297"/>
      <c r="N12" s="297"/>
      <c r="O12" s="287"/>
      <c r="P12" s="292" t="e">
        <f>H12/F12*100</f>
        <v>#DIV/0!</v>
      </c>
      <c r="Q12" s="298"/>
      <c r="R12" s="292" t="e">
        <f t="shared" si="0"/>
        <v>#DIV/0!</v>
      </c>
      <c r="S12" s="298"/>
      <c r="T12" s="292" t="e">
        <f>J12/N12*100</f>
        <v>#DIV/0!</v>
      </c>
      <c r="U12" s="222"/>
      <c r="V12" s="222" t="e">
        <f>H12/U12*100</f>
        <v>#DIV/0!</v>
      </c>
      <c r="W12" s="221"/>
      <c r="X12" s="184"/>
      <c r="Y12" s="184"/>
      <c r="Z12" s="185"/>
      <c r="AA12" s="311" t="e">
        <f>J12/T12*100</f>
        <v>#DIV/0!</v>
      </c>
      <c r="AB12" s="331" t="e">
        <f>J12/AA12*100</f>
        <v>#DIV/0!</v>
      </c>
      <c r="AC12" s="336"/>
    </row>
    <row r="13" spans="1:29" ht="21" customHeight="1">
      <c r="A13" s="132" t="s">
        <v>77</v>
      </c>
      <c r="B13" s="135" t="s">
        <v>98</v>
      </c>
      <c r="C13" s="105"/>
      <c r="D13" s="105"/>
      <c r="E13" s="294"/>
      <c r="F13" s="306">
        <f>647582/1000</f>
        <v>647.582</v>
      </c>
      <c r="G13" s="294"/>
      <c r="H13" s="306">
        <f>924546/1000</f>
        <v>924.546</v>
      </c>
      <c r="I13" s="294"/>
      <c r="J13" s="306">
        <f>2565885/1000</f>
        <v>2565.885</v>
      </c>
      <c r="K13" s="299"/>
      <c r="L13" s="296">
        <v>895783</v>
      </c>
      <c r="M13" s="300"/>
      <c r="N13" s="300">
        <v>9305.072000000004</v>
      </c>
      <c r="O13" s="287"/>
      <c r="P13" s="292">
        <f>H13/F13*100</f>
        <v>142.7689466353296</v>
      </c>
      <c r="Q13" s="292"/>
      <c r="R13" s="292">
        <f t="shared" si="0"/>
        <v>0.10321093389805344</v>
      </c>
      <c r="S13" s="292"/>
      <c r="T13" s="292">
        <v>112.54547966655922</v>
      </c>
      <c r="U13" s="222">
        <v>8148.24</v>
      </c>
      <c r="V13" s="222">
        <f>H13/U13*100</f>
        <v>11.346573002267975</v>
      </c>
      <c r="W13" s="221"/>
      <c r="X13" s="184"/>
      <c r="Y13" s="184"/>
      <c r="Z13" s="185"/>
      <c r="AA13" s="311">
        <f>J13/T13*100</f>
        <v>2279.865</v>
      </c>
      <c r="AB13" s="331">
        <f>J13/AA13*100</f>
        <v>112.54547966655923</v>
      </c>
      <c r="AC13" s="336"/>
    </row>
    <row r="14" spans="1:27" ht="21" customHeight="1">
      <c r="A14" s="98" t="s">
        <v>127</v>
      </c>
      <c r="B14" s="136"/>
      <c r="C14" s="105"/>
      <c r="D14" s="105"/>
      <c r="E14" s="294"/>
      <c r="F14" s="294"/>
      <c r="G14" s="294"/>
      <c r="H14" s="294"/>
      <c r="I14" s="294"/>
      <c r="J14" s="294"/>
      <c r="K14" s="296"/>
      <c r="L14" s="296"/>
      <c r="M14" s="297"/>
      <c r="N14" s="300"/>
      <c r="O14" s="301"/>
      <c r="P14" s="292"/>
      <c r="Q14" s="292"/>
      <c r="R14" s="292"/>
      <c r="S14" s="292"/>
      <c r="T14" s="292"/>
      <c r="X14" s="184"/>
      <c r="Y14" s="184"/>
      <c r="Z14" s="185"/>
      <c r="AA14" s="309"/>
    </row>
    <row r="15" spans="1:30" s="265" customFormat="1" ht="24" customHeight="1">
      <c r="A15" s="266" t="s">
        <v>144</v>
      </c>
      <c r="B15" s="257" t="s">
        <v>78</v>
      </c>
      <c r="C15" s="104"/>
      <c r="D15" s="104"/>
      <c r="E15" s="267"/>
      <c r="F15" s="204">
        <v>167352</v>
      </c>
      <c r="G15" s="204"/>
      <c r="H15" s="204">
        <v>159641</v>
      </c>
      <c r="I15" s="204"/>
      <c r="J15" s="204">
        <v>544417</v>
      </c>
      <c r="K15" s="205"/>
      <c r="L15" s="205">
        <v>180588</v>
      </c>
      <c r="M15" s="206"/>
      <c r="N15" s="206">
        <v>1860762</v>
      </c>
      <c r="O15" s="302"/>
      <c r="P15" s="292">
        <f>H15/F15*100</f>
        <v>95.39234667049095</v>
      </c>
      <c r="Q15" s="268"/>
      <c r="R15" s="293">
        <f t="shared" si="0"/>
        <v>88.400668925953</v>
      </c>
      <c r="S15" s="268"/>
      <c r="T15" s="293">
        <v>113.34818500744319</v>
      </c>
      <c r="U15" s="260">
        <f>H15/T15</f>
        <v>1408.4124945583992</v>
      </c>
      <c r="V15" s="260"/>
      <c r="W15" s="261">
        <f>H15/F15*100</f>
        <v>95.39234667049095</v>
      </c>
      <c r="X15" s="262"/>
      <c r="Y15" s="262"/>
      <c r="Z15" s="264"/>
      <c r="AA15" s="309">
        <f aca="true" t="shared" si="1" ref="AA15:AA42">J15/T15*100</f>
        <v>480305</v>
      </c>
      <c r="AD15" s="265">
        <v>2300</v>
      </c>
    </row>
    <row r="16" spans="1:30" s="265" customFormat="1" ht="24" customHeight="1">
      <c r="A16" s="266" t="s">
        <v>145</v>
      </c>
      <c r="B16" s="257" t="s">
        <v>78</v>
      </c>
      <c r="C16" s="104"/>
      <c r="D16" s="104"/>
      <c r="E16" s="267"/>
      <c r="F16" s="204">
        <v>108570</v>
      </c>
      <c r="G16" s="204"/>
      <c r="H16" s="204">
        <v>165581</v>
      </c>
      <c r="I16" s="204"/>
      <c r="J16" s="204">
        <v>428907</v>
      </c>
      <c r="K16" s="205"/>
      <c r="L16" s="205">
        <v>141499</v>
      </c>
      <c r="M16" s="206"/>
      <c r="N16" s="206">
        <v>1519218</v>
      </c>
      <c r="O16" s="302"/>
      <c r="P16" s="292">
        <f aca="true" t="shared" si="2" ref="P16:P35">H16/F16*100</f>
        <v>152.51082251082252</v>
      </c>
      <c r="Q16" s="268"/>
      <c r="R16" s="293">
        <f t="shared" si="0"/>
        <v>117.01920154912754</v>
      </c>
      <c r="S16" s="268"/>
      <c r="T16" s="293">
        <v>115.91799118399824</v>
      </c>
      <c r="U16" s="260">
        <f aca="true" t="shared" si="3" ref="U16:U35">H16/T16</f>
        <v>1428.4322762043985</v>
      </c>
      <c r="V16" s="260"/>
      <c r="W16" s="261">
        <f aca="true" t="shared" si="4" ref="W16:W35">H16/F16*100</f>
        <v>152.51082251082252</v>
      </c>
      <c r="X16" s="262"/>
      <c r="Y16" s="262"/>
      <c r="Z16" s="264"/>
      <c r="AA16" s="309">
        <f t="shared" si="1"/>
        <v>370008.99999999994</v>
      </c>
      <c r="AD16" s="265">
        <v>352</v>
      </c>
    </row>
    <row r="17" spans="1:30" s="265" customFormat="1" ht="24" customHeight="1">
      <c r="A17" s="266" t="s">
        <v>143</v>
      </c>
      <c r="B17" s="257" t="s">
        <v>78</v>
      </c>
      <c r="C17" s="104"/>
      <c r="D17" s="104"/>
      <c r="E17" s="267"/>
      <c r="F17" s="204">
        <v>73945</v>
      </c>
      <c r="G17" s="204"/>
      <c r="H17" s="204">
        <v>87928</v>
      </c>
      <c r="I17" s="204"/>
      <c r="J17" s="204">
        <v>251821</v>
      </c>
      <c r="K17" s="205"/>
      <c r="L17" s="205">
        <v>89529</v>
      </c>
      <c r="M17" s="206"/>
      <c r="N17" s="206">
        <v>1056716</v>
      </c>
      <c r="O17" s="302"/>
      <c r="P17" s="292">
        <f t="shared" si="2"/>
        <v>118.91000067617826</v>
      </c>
      <c r="Q17" s="268"/>
      <c r="R17" s="293">
        <f t="shared" si="0"/>
        <v>98.21175261647063</v>
      </c>
      <c r="S17" s="268"/>
      <c r="T17" s="293">
        <v>95.68576042557234</v>
      </c>
      <c r="U17" s="260">
        <f t="shared" si="3"/>
        <v>918.9246091469735</v>
      </c>
      <c r="V17" s="260"/>
      <c r="W17" s="261">
        <f t="shared" si="4"/>
        <v>118.91000067617826</v>
      </c>
      <c r="X17" s="262"/>
      <c r="Y17" s="262"/>
      <c r="Z17" s="264"/>
      <c r="AA17" s="309">
        <f t="shared" si="1"/>
        <v>263175</v>
      </c>
      <c r="AD17" s="265">
        <f>AD15-AD16</f>
        <v>1948</v>
      </c>
    </row>
    <row r="18" spans="1:30" s="265" customFormat="1" ht="24" customHeight="1">
      <c r="A18" s="266" t="s">
        <v>146</v>
      </c>
      <c r="B18" s="257" t="s">
        <v>78</v>
      </c>
      <c r="C18" s="104"/>
      <c r="D18" s="104"/>
      <c r="E18" s="267"/>
      <c r="F18" s="204">
        <v>58103</v>
      </c>
      <c r="G18" s="204"/>
      <c r="H18" s="204">
        <v>81645</v>
      </c>
      <c r="I18" s="204"/>
      <c r="J18" s="204">
        <v>234741</v>
      </c>
      <c r="K18" s="205"/>
      <c r="L18" s="205">
        <v>88209</v>
      </c>
      <c r="M18" s="206"/>
      <c r="N18" s="206">
        <v>902917.9999999999</v>
      </c>
      <c r="O18" s="302"/>
      <c r="P18" s="292">
        <f t="shared" si="2"/>
        <v>140.5177013235117</v>
      </c>
      <c r="Q18" s="268"/>
      <c r="R18" s="293">
        <f t="shared" si="0"/>
        <v>92.55858245757236</v>
      </c>
      <c r="S18" s="268"/>
      <c r="T18" s="293">
        <v>108.10134976444745</v>
      </c>
      <c r="U18" s="260">
        <f t="shared" si="3"/>
        <v>755.2634650529733</v>
      </c>
      <c r="V18" s="260"/>
      <c r="W18" s="261">
        <f t="shared" si="4"/>
        <v>140.5177013235117</v>
      </c>
      <c r="X18" s="262"/>
      <c r="Y18" s="262"/>
      <c r="Z18" s="264"/>
      <c r="AA18" s="309">
        <f t="shared" si="1"/>
        <v>217149.00000000003</v>
      </c>
      <c r="AD18" s="265">
        <f>AD15/AD17*100</f>
        <v>118.06981519507187</v>
      </c>
    </row>
    <row r="19" spans="1:27" s="265" customFormat="1" ht="24" customHeight="1">
      <c r="A19" s="270" t="s">
        <v>157</v>
      </c>
      <c r="B19" s="257" t="s">
        <v>78</v>
      </c>
      <c r="C19" s="104"/>
      <c r="D19" s="104"/>
      <c r="E19" s="259"/>
      <c r="F19" s="204">
        <v>57645</v>
      </c>
      <c r="G19" s="204"/>
      <c r="H19" s="204">
        <v>88005</v>
      </c>
      <c r="I19" s="204"/>
      <c r="J19" s="204">
        <v>226594</v>
      </c>
      <c r="K19" s="205"/>
      <c r="L19" s="205">
        <v>64709</v>
      </c>
      <c r="M19" s="206"/>
      <c r="N19" s="206">
        <v>811135</v>
      </c>
      <c r="O19" s="302"/>
      <c r="P19" s="292">
        <f t="shared" si="2"/>
        <v>152.6671870934166</v>
      </c>
      <c r="Q19" s="268"/>
      <c r="R19" s="293">
        <f t="shared" si="0"/>
        <v>136.00117448886553</v>
      </c>
      <c r="S19" s="268"/>
      <c r="T19" s="293">
        <v>110.5886831496647</v>
      </c>
      <c r="U19" s="260">
        <f t="shared" si="3"/>
        <v>795.7866708738978</v>
      </c>
      <c r="V19" s="260"/>
      <c r="W19" s="261">
        <f t="shared" si="4"/>
        <v>152.6671870934166</v>
      </c>
      <c r="X19" s="262"/>
      <c r="Y19" s="262"/>
      <c r="Z19" s="264"/>
      <c r="AA19" s="309">
        <f t="shared" si="1"/>
        <v>204898</v>
      </c>
    </row>
    <row r="20" spans="1:27" s="265" customFormat="1" ht="24" customHeight="1">
      <c r="A20" s="270" t="s">
        <v>158</v>
      </c>
      <c r="B20" s="257" t="s">
        <v>78</v>
      </c>
      <c r="C20" s="104"/>
      <c r="D20" s="104"/>
      <c r="E20" s="267"/>
      <c r="F20" s="204">
        <v>41734</v>
      </c>
      <c r="G20" s="204"/>
      <c r="H20" s="204">
        <v>42970</v>
      </c>
      <c r="I20" s="204"/>
      <c r="J20" s="204">
        <v>150956</v>
      </c>
      <c r="K20" s="205"/>
      <c r="L20" s="205">
        <v>38151</v>
      </c>
      <c r="M20" s="206"/>
      <c r="N20" s="206">
        <v>411866</v>
      </c>
      <c r="O20" s="302"/>
      <c r="P20" s="292">
        <f t="shared" si="2"/>
        <v>102.96161403172472</v>
      </c>
      <c r="Q20" s="268"/>
      <c r="R20" s="293">
        <f t="shared" si="0"/>
        <v>112.63138580902204</v>
      </c>
      <c r="S20" s="268"/>
      <c r="T20" s="293">
        <v>131.65188421722786</v>
      </c>
      <c r="U20" s="260">
        <f t="shared" si="3"/>
        <v>326.3910748827473</v>
      </c>
      <c r="V20" s="260"/>
      <c r="W20" s="261">
        <f t="shared" si="4"/>
        <v>102.96161403172472</v>
      </c>
      <c r="X20" s="262"/>
      <c r="Y20" s="262"/>
      <c r="Z20" s="264"/>
      <c r="AA20" s="309">
        <f t="shared" si="1"/>
        <v>114663.00000000001</v>
      </c>
    </row>
    <row r="21" spans="1:27" s="265" customFormat="1" ht="24" customHeight="1">
      <c r="A21" s="266" t="s">
        <v>142</v>
      </c>
      <c r="B21" s="257" t="s">
        <v>78</v>
      </c>
      <c r="C21" s="104"/>
      <c r="D21" s="104"/>
      <c r="E21" s="267"/>
      <c r="F21" s="204">
        <v>35899</v>
      </c>
      <c r="G21" s="204"/>
      <c r="H21" s="204">
        <v>44034</v>
      </c>
      <c r="I21" s="204"/>
      <c r="J21" s="204">
        <v>121976</v>
      </c>
      <c r="K21" s="205"/>
      <c r="L21" s="205">
        <v>12547</v>
      </c>
      <c r="M21" s="206"/>
      <c r="N21" s="206">
        <v>490533</v>
      </c>
      <c r="O21" s="302"/>
      <c r="P21" s="292">
        <f t="shared" si="2"/>
        <v>122.660798350929</v>
      </c>
      <c r="Q21" s="268"/>
      <c r="R21" s="293">
        <f t="shared" si="0"/>
        <v>350.9524189049175</v>
      </c>
      <c r="S21" s="268"/>
      <c r="T21" s="293">
        <v>97.61203585147247</v>
      </c>
      <c r="U21" s="260">
        <f t="shared" si="3"/>
        <v>451.1124024398242</v>
      </c>
      <c r="V21" s="260"/>
      <c r="W21" s="261">
        <f t="shared" si="4"/>
        <v>122.660798350929</v>
      </c>
      <c r="X21" s="262"/>
      <c r="Y21" s="262"/>
      <c r="Z21" s="264"/>
      <c r="AA21" s="309">
        <f t="shared" si="1"/>
        <v>124959.99999999999</v>
      </c>
    </row>
    <row r="22" spans="1:27" s="265" customFormat="1" ht="24" customHeight="1">
      <c r="A22" s="270" t="s">
        <v>159</v>
      </c>
      <c r="B22" s="257" t="s">
        <v>78</v>
      </c>
      <c r="C22" s="104"/>
      <c r="D22" s="104"/>
      <c r="E22" s="267"/>
      <c r="F22" s="204">
        <v>27211</v>
      </c>
      <c r="G22" s="204"/>
      <c r="H22" s="204">
        <v>27708</v>
      </c>
      <c r="I22" s="204"/>
      <c r="J22" s="204">
        <v>88889</v>
      </c>
      <c r="K22" s="205"/>
      <c r="L22" s="205">
        <v>25127</v>
      </c>
      <c r="M22" s="206"/>
      <c r="N22" s="206">
        <v>293380</v>
      </c>
      <c r="O22" s="302"/>
      <c r="P22" s="292">
        <f t="shared" si="2"/>
        <v>101.82646723751425</v>
      </c>
      <c r="Q22" s="268"/>
      <c r="R22" s="293">
        <f t="shared" si="0"/>
        <v>110.27181915867395</v>
      </c>
      <c r="S22" s="268"/>
      <c r="T22" s="293">
        <v>116.89922276726416</v>
      </c>
      <c r="U22" s="260">
        <f t="shared" si="3"/>
        <v>237.0246725691593</v>
      </c>
      <c r="V22" s="260"/>
      <c r="W22" s="261">
        <f t="shared" si="4"/>
        <v>101.82646723751425</v>
      </c>
      <c r="X22" s="262"/>
      <c r="Y22" s="262"/>
      <c r="Z22" s="264"/>
      <c r="AA22" s="309">
        <f t="shared" si="1"/>
        <v>76039</v>
      </c>
    </row>
    <row r="23" spans="1:27" s="265" customFormat="1" ht="24" customHeight="1">
      <c r="A23" s="266" t="s">
        <v>92</v>
      </c>
      <c r="B23" s="257" t="s">
        <v>78</v>
      </c>
      <c r="C23" s="104"/>
      <c r="D23" s="104"/>
      <c r="E23" s="259"/>
      <c r="F23" s="259">
        <v>13671</v>
      </c>
      <c r="G23" s="204"/>
      <c r="H23" s="204">
        <v>31079</v>
      </c>
      <c r="I23" s="204"/>
      <c r="J23" s="204">
        <v>65576</v>
      </c>
      <c r="K23" s="205"/>
      <c r="L23" s="205">
        <v>23987</v>
      </c>
      <c r="M23" s="206"/>
      <c r="N23" s="206">
        <v>270433.99999999994</v>
      </c>
      <c r="O23" s="302"/>
      <c r="P23" s="292">
        <f t="shared" si="2"/>
        <v>227.33523516933656</v>
      </c>
      <c r="Q23" s="269"/>
      <c r="R23" s="293">
        <f t="shared" si="0"/>
        <v>129.5660149247509</v>
      </c>
      <c r="S23" s="269"/>
      <c r="T23" s="293">
        <v>94.82466922131444</v>
      </c>
      <c r="U23" s="260">
        <f t="shared" si="3"/>
        <v>327.7522637855313</v>
      </c>
      <c r="V23" s="260"/>
      <c r="W23" s="261">
        <f t="shared" si="4"/>
        <v>227.33523516933656</v>
      </c>
      <c r="X23" s="262"/>
      <c r="Y23" s="262"/>
      <c r="Z23" s="264"/>
      <c r="AA23" s="309">
        <f t="shared" si="1"/>
        <v>69155</v>
      </c>
    </row>
    <row r="24" spans="1:27" s="265" customFormat="1" ht="24" customHeight="1">
      <c r="A24" s="266" t="s">
        <v>138</v>
      </c>
      <c r="B24" s="257" t="s">
        <v>78</v>
      </c>
      <c r="C24" s="104"/>
      <c r="D24" s="104"/>
      <c r="E24" s="259"/>
      <c r="F24" s="204">
        <v>13965</v>
      </c>
      <c r="G24" s="204"/>
      <c r="H24" s="204">
        <v>13042</v>
      </c>
      <c r="I24" s="204"/>
      <c r="J24" s="204">
        <v>51487</v>
      </c>
      <c r="K24" s="205"/>
      <c r="L24" s="205">
        <v>14394</v>
      </c>
      <c r="M24" s="206"/>
      <c r="N24" s="206">
        <v>182867.99999999997</v>
      </c>
      <c r="O24" s="302"/>
      <c r="P24" s="292">
        <f t="shared" si="2"/>
        <v>93.390619405657</v>
      </c>
      <c r="Q24" s="268"/>
      <c r="R24" s="293">
        <f t="shared" si="0"/>
        <v>90.60719744337918</v>
      </c>
      <c r="S24" s="268"/>
      <c r="T24" s="293">
        <v>127.54409433214427</v>
      </c>
      <c r="U24" s="260">
        <f t="shared" si="3"/>
        <v>102.25483248198574</v>
      </c>
      <c r="V24" s="260"/>
      <c r="W24" s="261">
        <f t="shared" si="4"/>
        <v>93.390619405657</v>
      </c>
      <c r="X24" s="262"/>
      <c r="Y24" s="262"/>
      <c r="Z24" s="264"/>
      <c r="AA24" s="309">
        <f t="shared" si="1"/>
        <v>40368</v>
      </c>
    </row>
    <row r="25" spans="1:27" s="265" customFormat="1" ht="24" customHeight="1">
      <c r="A25" s="266" t="s">
        <v>120</v>
      </c>
      <c r="B25" s="257" t="s">
        <v>78</v>
      </c>
      <c r="C25" s="104"/>
      <c r="D25" s="104"/>
      <c r="E25" s="267"/>
      <c r="F25" s="204">
        <v>18993</v>
      </c>
      <c r="G25" s="204"/>
      <c r="H25" s="204">
        <v>20842</v>
      </c>
      <c r="I25" s="204"/>
      <c r="J25" s="204">
        <v>61804</v>
      </c>
      <c r="K25" s="205"/>
      <c r="L25" s="205">
        <v>17522</v>
      </c>
      <c r="M25" s="206"/>
      <c r="N25" s="206">
        <v>194303</v>
      </c>
      <c r="O25" s="302"/>
      <c r="P25" s="292">
        <f t="shared" si="2"/>
        <v>109.73516558732163</v>
      </c>
      <c r="Q25" s="268"/>
      <c r="R25" s="293">
        <f t="shared" si="0"/>
        <v>118.94760872046571</v>
      </c>
      <c r="S25" s="268"/>
      <c r="T25" s="293">
        <v>138.51808687076965</v>
      </c>
      <c r="U25" s="260">
        <f t="shared" si="3"/>
        <v>150.46410523590706</v>
      </c>
      <c r="V25" s="260"/>
      <c r="W25" s="261">
        <f t="shared" si="4"/>
        <v>109.73516558732163</v>
      </c>
      <c r="X25" s="262"/>
      <c r="Y25" s="262"/>
      <c r="Z25" s="264"/>
      <c r="AA25" s="309">
        <f t="shared" si="1"/>
        <v>44618</v>
      </c>
    </row>
    <row r="26" spans="1:27" s="278" customFormat="1" ht="24" customHeight="1">
      <c r="A26" s="256" t="s">
        <v>121</v>
      </c>
      <c r="B26" s="226" t="s">
        <v>78</v>
      </c>
      <c r="C26" s="271"/>
      <c r="D26" s="271"/>
      <c r="E26" s="272"/>
      <c r="F26" s="224">
        <v>8410</v>
      </c>
      <c r="G26" s="224"/>
      <c r="H26" s="224">
        <v>12374</v>
      </c>
      <c r="I26" s="224"/>
      <c r="J26" s="224">
        <v>36865</v>
      </c>
      <c r="K26" s="224"/>
      <c r="L26" s="224">
        <v>11096</v>
      </c>
      <c r="M26" s="224"/>
      <c r="N26" s="224">
        <v>117418.99999999999</v>
      </c>
      <c r="O26" s="303"/>
      <c r="P26" s="292">
        <f t="shared" si="2"/>
        <v>147.13436385255648</v>
      </c>
      <c r="Q26" s="226"/>
      <c r="R26" s="273">
        <f t="shared" si="0"/>
        <v>111.51766402307138</v>
      </c>
      <c r="S26" s="226"/>
      <c r="T26" s="273">
        <v>107.15946747282135</v>
      </c>
      <c r="U26" s="274">
        <f t="shared" si="3"/>
        <v>115.47276495320764</v>
      </c>
      <c r="V26" s="274"/>
      <c r="W26" s="275">
        <f t="shared" si="4"/>
        <v>147.13436385255648</v>
      </c>
      <c r="X26" s="276"/>
      <c r="Y26" s="276"/>
      <c r="Z26" s="277"/>
      <c r="AA26" s="309">
        <f t="shared" si="1"/>
        <v>34402</v>
      </c>
    </row>
    <row r="27" spans="1:27" s="265" customFormat="1" ht="24" customHeight="1">
      <c r="A27" s="266" t="s">
        <v>94</v>
      </c>
      <c r="B27" s="257" t="s">
        <v>78</v>
      </c>
      <c r="C27" s="104"/>
      <c r="D27" s="104"/>
      <c r="E27" s="267"/>
      <c r="F27" s="259">
        <v>15491</v>
      </c>
      <c r="G27" s="204"/>
      <c r="H27" s="204">
        <v>17434</v>
      </c>
      <c r="I27" s="204"/>
      <c r="J27" s="204">
        <v>44398</v>
      </c>
      <c r="K27" s="205"/>
      <c r="L27" s="205">
        <v>11270</v>
      </c>
      <c r="M27" s="206"/>
      <c r="N27" s="206">
        <v>130925</v>
      </c>
      <c r="O27" s="302"/>
      <c r="P27" s="292">
        <f t="shared" si="2"/>
        <v>112.54276676780066</v>
      </c>
      <c r="Q27" s="268"/>
      <c r="R27" s="293">
        <f t="shared" si="0"/>
        <v>154.6938775510204</v>
      </c>
      <c r="S27" s="268"/>
      <c r="T27" s="293">
        <v>166.40929535232382</v>
      </c>
      <c r="U27" s="260">
        <f t="shared" si="3"/>
        <v>104.76578224244336</v>
      </c>
      <c r="V27" s="260"/>
      <c r="W27" s="261">
        <f t="shared" si="4"/>
        <v>112.54276676780066</v>
      </c>
      <c r="X27" s="262"/>
      <c r="Y27" s="262"/>
      <c r="Z27" s="264"/>
      <c r="AA27" s="309">
        <f t="shared" si="1"/>
        <v>26680</v>
      </c>
    </row>
    <row r="28" spans="1:27" s="265" customFormat="1" ht="24" customHeight="1">
      <c r="A28" s="266" t="s">
        <v>139</v>
      </c>
      <c r="B28" s="257" t="s">
        <v>78</v>
      </c>
      <c r="C28" s="104"/>
      <c r="D28" s="104"/>
      <c r="E28" s="267"/>
      <c r="F28" s="259">
        <v>6046</v>
      </c>
      <c r="G28" s="204"/>
      <c r="H28" s="204">
        <v>8425</v>
      </c>
      <c r="I28" s="204"/>
      <c r="J28" s="204">
        <v>27240</v>
      </c>
      <c r="K28" s="205"/>
      <c r="L28" s="205">
        <v>10644</v>
      </c>
      <c r="M28" s="206"/>
      <c r="N28" s="206">
        <v>117828</v>
      </c>
      <c r="O28" s="302"/>
      <c r="P28" s="292">
        <f t="shared" si="2"/>
        <v>139.34832947403243</v>
      </c>
      <c r="Q28" s="268"/>
      <c r="R28" s="293">
        <f t="shared" si="0"/>
        <v>79.15257422021796</v>
      </c>
      <c r="S28" s="268"/>
      <c r="T28" s="293">
        <v>108.90772429233968</v>
      </c>
      <c r="U28" s="260">
        <f t="shared" si="3"/>
        <v>77.35906754772394</v>
      </c>
      <c r="V28" s="260"/>
      <c r="W28" s="261">
        <f t="shared" si="4"/>
        <v>139.34832947403243</v>
      </c>
      <c r="X28" s="262"/>
      <c r="Y28" s="262"/>
      <c r="Z28" s="264"/>
      <c r="AA28" s="309">
        <f t="shared" si="1"/>
        <v>25012</v>
      </c>
    </row>
    <row r="29" spans="1:27" s="265" customFormat="1" ht="24" customHeight="1">
      <c r="A29" s="256" t="s">
        <v>93</v>
      </c>
      <c r="B29" s="257" t="s">
        <v>78</v>
      </c>
      <c r="C29" s="104"/>
      <c r="D29" s="104"/>
      <c r="E29" s="267"/>
      <c r="F29" s="259">
        <v>7149</v>
      </c>
      <c r="G29" s="204"/>
      <c r="H29" s="204">
        <v>13150</v>
      </c>
      <c r="I29" s="204"/>
      <c r="J29" s="204">
        <v>28090</v>
      </c>
      <c r="K29" s="205"/>
      <c r="L29" s="205">
        <v>8289</v>
      </c>
      <c r="M29" s="206"/>
      <c r="N29" s="206">
        <v>124291.99999999999</v>
      </c>
      <c r="O29" s="302"/>
      <c r="P29" s="292">
        <f t="shared" si="2"/>
        <v>183.94181004336272</v>
      </c>
      <c r="Q29" s="268"/>
      <c r="R29" s="293">
        <f t="shared" si="0"/>
        <v>158.64398600554952</v>
      </c>
      <c r="S29" s="268"/>
      <c r="T29" s="293">
        <v>99.60286504503226</v>
      </c>
      <c r="U29" s="260">
        <f t="shared" si="3"/>
        <v>132.0243147027412</v>
      </c>
      <c r="V29" s="260"/>
      <c r="W29" s="261">
        <f t="shared" si="4"/>
        <v>183.94181004336272</v>
      </c>
      <c r="X29" s="262"/>
      <c r="Y29" s="262"/>
      <c r="Z29" s="264"/>
      <c r="AA29" s="309">
        <f t="shared" si="1"/>
        <v>28202.000000000004</v>
      </c>
    </row>
    <row r="30" spans="1:27" s="265" customFormat="1" ht="24" customHeight="1">
      <c r="A30" s="266" t="s">
        <v>140</v>
      </c>
      <c r="B30" s="257" t="s">
        <v>78</v>
      </c>
      <c r="C30" s="104"/>
      <c r="D30" s="104"/>
      <c r="E30" s="267"/>
      <c r="F30" s="259">
        <v>5969</v>
      </c>
      <c r="G30" s="204"/>
      <c r="H30" s="204">
        <v>8376</v>
      </c>
      <c r="I30" s="204"/>
      <c r="J30" s="204">
        <v>14757</v>
      </c>
      <c r="K30" s="205"/>
      <c r="L30" s="205">
        <v>5327</v>
      </c>
      <c r="M30" s="206"/>
      <c r="N30" s="206">
        <v>78638</v>
      </c>
      <c r="O30" s="302"/>
      <c r="P30" s="292">
        <f t="shared" si="2"/>
        <v>140.32501256491875</v>
      </c>
      <c r="Q30" s="268"/>
      <c r="R30" s="293">
        <f t="shared" si="0"/>
        <v>157.23671860334147</v>
      </c>
      <c r="S30" s="268"/>
      <c r="T30" s="293">
        <v>116.26093122193335</v>
      </c>
      <c r="U30" s="260">
        <f t="shared" si="3"/>
        <v>72.04483838178491</v>
      </c>
      <c r="V30" s="260"/>
      <c r="W30" s="261">
        <f t="shared" si="4"/>
        <v>140.32501256491875</v>
      </c>
      <c r="X30" s="262"/>
      <c r="Y30" s="262"/>
      <c r="Z30" s="264"/>
      <c r="AA30" s="309">
        <f t="shared" si="1"/>
        <v>12693</v>
      </c>
    </row>
    <row r="31" spans="1:27" s="265" customFormat="1" ht="24" customHeight="1">
      <c r="A31" s="256" t="s">
        <v>122</v>
      </c>
      <c r="B31" s="257" t="s">
        <v>12</v>
      </c>
      <c r="C31" s="104"/>
      <c r="D31" s="104"/>
      <c r="E31" s="258">
        <v>16431</v>
      </c>
      <c r="F31" s="259">
        <v>33345</v>
      </c>
      <c r="G31" s="204">
        <v>16780.9803</v>
      </c>
      <c r="H31" s="204">
        <v>69830</v>
      </c>
      <c r="I31" s="204">
        <v>49806.980299999996</v>
      </c>
      <c r="J31" s="204">
        <v>137129</v>
      </c>
      <c r="K31" s="205">
        <v>11646</v>
      </c>
      <c r="L31" s="205">
        <v>19362</v>
      </c>
      <c r="M31" s="206">
        <v>141983</v>
      </c>
      <c r="N31" s="206">
        <v>294755</v>
      </c>
      <c r="O31" s="293">
        <f>G31/E31*100</f>
        <v>102.12999999999998</v>
      </c>
      <c r="P31" s="292">
        <f t="shared" si="2"/>
        <v>209.41670415354628</v>
      </c>
      <c r="Q31" s="293">
        <f t="shared" si="0"/>
        <v>144.09222308088613</v>
      </c>
      <c r="R31" s="293">
        <f t="shared" si="0"/>
        <v>360.65489102365456</v>
      </c>
      <c r="S31" s="293">
        <v>72.77041128513821</v>
      </c>
      <c r="T31" s="293">
        <v>95.58692318416283</v>
      </c>
      <c r="U31" s="260">
        <f t="shared" si="3"/>
        <v>730.5392586542599</v>
      </c>
      <c r="V31" s="260"/>
      <c r="W31" s="261">
        <f t="shared" si="4"/>
        <v>209.41670415354628</v>
      </c>
      <c r="X31" s="262"/>
      <c r="Y31" s="263"/>
      <c r="Z31" s="264"/>
      <c r="AA31" s="309">
        <f t="shared" si="1"/>
        <v>143460</v>
      </c>
    </row>
    <row r="32" spans="1:27" s="265" customFormat="1" ht="24" customHeight="1">
      <c r="A32" s="266" t="s">
        <v>141</v>
      </c>
      <c r="B32" s="257" t="s">
        <v>12</v>
      </c>
      <c r="C32" s="104"/>
      <c r="D32" s="104"/>
      <c r="E32" s="258">
        <v>8883</v>
      </c>
      <c r="F32" s="259">
        <v>13915</v>
      </c>
      <c r="G32" s="204">
        <v>9804.1671</v>
      </c>
      <c r="H32" s="204">
        <v>23752</v>
      </c>
      <c r="I32" s="204">
        <v>29065.1671</v>
      </c>
      <c r="J32" s="204">
        <v>54516</v>
      </c>
      <c r="K32" s="205">
        <v>10479</v>
      </c>
      <c r="L32" s="205">
        <v>15920</v>
      </c>
      <c r="M32" s="206">
        <v>117203</v>
      </c>
      <c r="N32" s="206">
        <v>212454.99999999997</v>
      </c>
      <c r="O32" s="293">
        <f>G32/E32*100</f>
        <v>110.37000000000002</v>
      </c>
      <c r="P32" s="292">
        <f t="shared" si="2"/>
        <v>170.69349622709308</v>
      </c>
      <c r="Q32" s="293">
        <f t="shared" si="0"/>
        <v>93.56014028056113</v>
      </c>
      <c r="R32" s="293">
        <f t="shared" si="0"/>
        <v>149.1959798994975</v>
      </c>
      <c r="S32" s="293">
        <v>43.58903284343131</v>
      </c>
      <c r="T32" s="293">
        <v>65.73182053848102</v>
      </c>
      <c r="U32" s="260">
        <f t="shared" si="3"/>
        <v>361.3470584782449</v>
      </c>
      <c r="V32" s="260"/>
      <c r="W32" s="261">
        <f t="shared" si="4"/>
        <v>170.69349622709308</v>
      </c>
      <c r="X32" s="262"/>
      <c r="Y32" s="263"/>
      <c r="Z32" s="264"/>
      <c r="AA32" s="309">
        <f t="shared" si="1"/>
        <v>82937</v>
      </c>
    </row>
    <row r="33" spans="1:27" s="265" customFormat="1" ht="24" customHeight="1">
      <c r="A33" s="256" t="s">
        <v>128</v>
      </c>
      <c r="B33" s="257" t="s">
        <v>12</v>
      </c>
      <c r="C33" s="104"/>
      <c r="D33" s="104"/>
      <c r="E33" s="258">
        <v>2032</v>
      </c>
      <c r="F33" s="259">
        <v>14038</v>
      </c>
      <c r="G33" s="204">
        <v>2053.9456</v>
      </c>
      <c r="H33" s="204">
        <v>2999</v>
      </c>
      <c r="I33" s="204">
        <v>7447.9456</v>
      </c>
      <c r="J33" s="204">
        <v>40351</v>
      </c>
      <c r="K33" s="205">
        <v>2661</v>
      </c>
      <c r="L33" s="205">
        <v>16210</v>
      </c>
      <c r="M33" s="206">
        <v>22835</v>
      </c>
      <c r="N33" s="206">
        <v>151444</v>
      </c>
      <c r="O33" s="293">
        <f>G33/E33*100</f>
        <v>101.08</v>
      </c>
      <c r="P33" s="292">
        <f t="shared" si="2"/>
        <v>21.363442085767204</v>
      </c>
      <c r="Q33" s="293">
        <f t="shared" si="0"/>
        <v>77.18698233746711</v>
      </c>
      <c r="R33" s="293">
        <f t="shared" si="0"/>
        <v>18.500925354719307</v>
      </c>
      <c r="S33" s="293">
        <v>132.3138319417303</v>
      </c>
      <c r="T33" s="293">
        <v>114.38006689721641</v>
      </c>
      <c r="U33" s="260">
        <f t="shared" si="3"/>
        <v>26.21960347946767</v>
      </c>
      <c r="V33" s="260"/>
      <c r="W33" s="261">
        <f t="shared" si="4"/>
        <v>21.363442085767204</v>
      </c>
      <c r="X33" s="262"/>
      <c r="Y33" s="263"/>
      <c r="Z33" s="264"/>
      <c r="AA33" s="309">
        <f t="shared" si="1"/>
        <v>35278</v>
      </c>
    </row>
    <row r="34" spans="1:27" s="265" customFormat="1" ht="24" customHeight="1">
      <c r="A34" s="256" t="s">
        <v>123</v>
      </c>
      <c r="B34" s="257" t="s">
        <v>12</v>
      </c>
      <c r="C34" s="104"/>
      <c r="D34" s="104"/>
      <c r="E34" s="258">
        <v>573</v>
      </c>
      <c r="F34" s="259">
        <v>5591</v>
      </c>
      <c r="G34" s="204">
        <v>915.9405</v>
      </c>
      <c r="H34" s="204">
        <v>2014</v>
      </c>
      <c r="I34" s="204">
        <v>2093.9405</v>
      </c>
      <c r="J34" s="204">
        <v>13899</v>
      </c>
      <c r="K34" s="205">
        <v>196</v>
      </c>
      <c r="L34" s="205">
        <v>1678</v>
      </c>
      <c r="M34" s="206">
        <v>6328</v>
      </c>
      <c r="N34" s="206">
        <v>47760.99999999999</v>
      </c>
      <c r="O34" s="293">
        <f>G34/E34*100</f>
        <v>159.85</v>
      </c>
      <c r="P34" s="292">
        <f t="shared" si="2"/>
        <v>36.022178501162585</v>
      </c>
      <c r="Q34" s="293">
        <f t="shared" si="0"/>
        <v>467.3165816326531</v>
      </c>
      <c r="R34" s="293">
        <f t="shared" si="0"/>
        <v>120.0238379022646</v>
      </c>
      <c r="S34" s="293">
        <v>148.82306325515282</v>
      </c>
      <c r="T34" s="293">
        <v>126.52708238507056</v>
      </c>
      <c r="U34" s="260">
        <f t="shared" si="3"/>
        <v>15.91754083027556</v>
      </c>
      <c r="V34" s="260"/>
      <c r="W34" s="261">
        <f t="shared" si="4"/>
        <v>36.022178501162585</v>
      </c>
      <c r="X34" s="262"/>
      <c r="Y34" s="263"/>
      <c r="Z34" s="264"/>
      <c r="AA34" s="309">
        <f t="shared" si="1"/>
        <v>10985</v>
      </c>
    </row>
    <row r="35" spans="1:27" s="265" customFormat="1" ht="24" customHeight="1">
      <c r="A35" s="266" t="s">
        <v>124</v>
      </c>
      <c r="B35" s="257" t="s">
        <v>12</v>
      </c>
      <c r="C35" s="104"/>
      <c r="D35" s="104"/>
      <c r="E35" s="258">
        <v>1454</v>
      </c>
      <c r="F35" s="259">
        <v>2130</v>
      </c>
      <c r="G35" s="204">
        <v>1494.8574</v>
      </c>
      <c r="H35" s="204">
        <v>3522</v>
      </c>
      <c r="I35" s="204">
        <v>5733.8574</v>
      </c>
      <c r="J35" s="204">
        <v>10172</v>
      </c>
      <c r="K35" s="205">
        <v>2136</v>
      </c>
      <c r="L35" s="205">
        <v>4824</v>
      </c>
      <c r="M35" s="206">
        <v>21602</v>
      </c>
      <c r="N35" s="206">
        <v>55049</v>
      </c>
      <c r="O35" s="293">
        <f>G35/E35*100</f>
        <v>102.81</v>
      </c>
      <c r="P35" s="292">
        <f t="shared" si="2"/>
        <v>165.35211267605635</v>
      </c>
      <c r="Q35" s="293">
        <f t="shared" si="0"/>
        <v>69.9839606741573</v>
      </c>
      <c r="R35" s="293">
        <f t="shared" si="0"/>
        <v>73.00995024875621</v>
      </c>
      <c r="S35" s="293">
        <v>95.83582483703827</v>
      </c>
      <c r="T35" s="293">
        <v>101.24415248332836</v>
      </c>
      <c r="U35" s="260">
        <f t="shared" si="3"/>
        <v>34.78719425874951</v>
      </c>
      <c r="V35" s="260"/>
      <c r="W35" s="261">
        <f t="shared" si="4"/>
        <v>165.35211267605635</v>
      </c>
      <c r="X35" s="262"/>
      <c r="Y35" s="263"/>
      <c r="Z35" s="264"/>
      <c r="AA35" s="309">
        <f t="shared" si="1"/>
        <v>10047</v>
      </c>
    </row>
    <row r="36" spans="1:27" s="85" customFormat="1" ht="24" customHeight="1">
      <c r="A36" s="128"/>
      <c r="B36" s="137"/>
      <c r="C36" s="105"/>
      <c r="D36" s="105"/>
      <c r="E36" s="149"/>
      <c r="F36" s="149"/>
      <c r="G36" s="150"/>
      <c r="H36" s="150"/>
      <c r="I36" s="150"/>
      <c r="J36" s="150"/>
      <c r="K36" s="175"/>
      <c r="L36" s="175"/>
      <c r="M36" s="175"/>
      <c r="N36" s="175"/>
      <c r="O36" s="145"/>
      <c r="P36" s="210"/>
      <c r="Q36" s="210"/>
      <c r="R36" s="210"/>
      <c r="S36" s="210"/>
      <c r="T36" s="210"/>
      <c r="U36" s="219"/>
      <c r="V36" s="219"/>
      <c r="W36" s="192"/>
      <c r="X36" s="188"/>
      <c r="Y36" s="187"/>
      <c r="Z36" s="185"/>
      <c r="AA36" s="309"/>
    </row>
    <row r="37" spans="1:27" s="89" customFormat="1" ht="24" customHeight="1">
      <c r="A37" s="101" t="s">
        <v>95</v>
      </c>
      <c r="B37" s="138"/>
      <c r="C37" s="104"/>
      <c r="D37" s="104"/>
      <c r="E37" s="104"/>
      <c r="F37" s="151"/>
      <c r="G37" s="151"/>
      <c r="H37" s="207"/>
      <c r="I37" s="207"/>
      <c r="J37" s="207"/>
      <c r="K37" s="176"/>
      <c r="L37" s="176"/>
      <c r="M37" s="151"/>
      <c r="N37" s="176"/>
      <c r="O37" s="146"/>
      <c r="P37" s="211"/>
      <c r="Q37" s="211"/>
      <c r="R37" s="211"/>
      <c r="S37" s="211"/>
      <c r="T37" s="211"/>
      <c r="U37" s="220"/>
      <c r="V37" s="220"/>
      <c r="W37" s="208"/>
      <c r="X37" s="188"/>
      <c r="Y37" s="187"/>
      <c r="Z37" s="185"/>
      <c r="AA37" s="309"/>
    </row>
    <row r="38" spans="1:28" ht="24" customHeight="1">
      <c r="A38" s="98" t="s">
        <v>97</v>
      </c>
      <c r="B38" s="139" t="s">
        <v>98</v>
      </c>
      <c r="C38" s="103">
        <v>13800</v>
      </c>
      <c r="D38" s="103">
        <v>13900</v>
      </c>
      <c r="E38" s="103"/>
      <c r="F38" s="152">
        <f>756774/1000</f>
        <v>756.774</v>
      </c>
      <c r="G38" s="196"/>
      <c r="H38" s="152">
        <f>1139232/1000</f>
        <v>1139.232</v>
      </c>
      <c r="I38" s="196"/>
      <c r="J38" s="152">
        <f>2965483/1000</f>
        <v>2965.483</v>
      </c>
      <c r="K38" s="193"/>
      <c r="L38" s="194">
        <f>'[3]NKTW 11 (2)'!$AV$16/1000</f>
        <v>946.317</v>
      </c>
      <c r="M38" s="153"/>
      <c r="N38" s="153">
        <v>11052.84</v>
      </c>
      <c r="O38" s="337"/>
      <c r="P38" s="209">
        <v>150.5379413140515</v>
      </c>
      <c r="Q38" s="213"/>
      <c r="R38" s="209">
        <f aca="true" t="shared" si="5" ref="Q38:R67">H38/L38*100</f>
        <v>120.38587492351928</v>
      </c>
      <c r="S38" s="213"/>
      <c r="T38" s="209">
        <v>106.46998717541815</v>
      </c>
      <c r="U38" s="229">
        <f>H38/T38</f>
        <v>10.700029465796971</v>
      </c>
      <c r="V38" s="219"/>
      <c r="W38" s="191"/>
      <c r="X38" s="28"/>
      <c r="Y38" s="187"/>
      <c r="Z38" s="185"/>
      <c r="AA38" s="309">
        <f t="shared" si="1"/>
        <v>2785.2760000000003</v>
      </c>
      <c r="AB38" s="310">
        <f>J38/AA38*100</f>
        <v>106.46998717541815</v>
      </c>
    </row>
    <row r="39" spans="1:30" s="89" customFormat="1" ht="24" customHeight="1">
      <c r="A39" s="99" t="s">
        <v>89</v>
      </c>
      <c r="B39" s="134" t="s">
        <v>98</v>
      </c>
      <c r="C39" s="104"/>
      <c r="D39" s="104"/>
      <c r="E39" s="104"/>
      <c r="F39" s="197">
        <f>109202/1000</f>
        <v>109.202</v>
      </c>
      <c r="G39" s="197"/>
      <c r="H39" s="197">
        <f>136831/1000</f>
        <v>136.831</v>
      </c>
      <c r="I39" s="197"/>
      <c r="J39" s="197">
        <f>422336/1000</f>
        <v>422.336</v>
      </c>
      <c r="K39" s="173"/>
      <c r="L39" s="177">
        <f>L38-L42</f>
        <v>137.41705752672624</v>
      </c>
      <c r="M39" s="154"/>
      <c r="N39" s="147">
        <f>N38-N42</f>
        <v>1736.7810000000009</v>
      </c>
      <c r="O39" s="337"/>
      <c r="P39" s="210">
        <f aca="true" t="shared" si="6" ref="P39:P67">H39/F39*100</f>
        <v>125.30081866632479</v>
      </c>
      <c r="Q39" s="212"/>
      <c r="R39" s="210">
        <f t="shared" si="5"/>
        <v>99.57351908323879</v>
      </c>
      <c r="S39" s="213"/>
      <c r="T39" s="210">
        <v>104.817</v>
      </c>
      <c r="U39" s="229">
        <v>919.5700000000006</v>
      </c>
      <c r="V39" s="219">
        <f>H39/U39*100</f>
        <v>14.879889513576986</v>
      </c>
      <c r="W39" s="191"/>
      <c r="X39" s="28"/>
      <c r="Y39" s="187"/>
      <c r="Z39" s="185"/>
      <c r="AA39" s="309">
        <f t="shared" si="1"/>
        <v>402.9270061154202</v>
      </c>
      <c r="AB39" s="310">
        <f>J39/AA39*100</f>
        <v>104.81700000000001</v>
      </c>
      <c r="AD39" s="77"/>
    </row>
    <row r="40" spans="1:28" ht="24" customHeight="1" hidden="1">
      <c r="A40" s="100" t="s">
        <v>91</v>
      </c>
      <c r="B40" s="135" t="s">
        <v>98</v>
      </c>
      <c r="C40" s="105"/>
      <c r="D40" s="105"/>
      <c r="E40" s="105"/>
      <c r="F40" s="198"/>
      <c r="G40" s="198"/>
      <c r="H40" s="198"/>
      <c r="I40" s="198"/>
      <c r="J40" s="198"/>
      <c r="K40" s="174"/>
      <c r="L40" s="178"/>
      <c r="M40" s="155"/>
      <c r="N40" s="155" t="e">
        <v>#DIV/0!</v>
      </c>
      <c r="O40" s="337"/>
      <c r="P40" s="210" t="e">
        <f t="shared" si="6"/>
        <v>#DIV/0!</v>
      </c>
      <c r="Q40" s="212"/>
      <c r="R40" s="210" t="e">
        <f t="shared" si="5"/>
        <v>#DIV/0!</v>
      </c>
      <c r="S40" s="213"/>
      <c r="T40" s="210" t="e">
        <f>J40/N40*100</f>
        <v>#DIV/0!</v>
      </c>
      <c r="U40" s="229"/>
      <c r="V40" s="219" t="e">
        <f>H40/U40*100</f>
        <v>#DIV/0!</v>
      </c>
      <c r="W40" s="192"/>
      <c r="X40" s="188"/>
      <c r="Y40" s="187"/>
      <c r="Z40" s="185"/>
      <c r="AA40" s="311" t="e">
        <f t="shared" si="1"/>
        <v>#DIV/0!</v>
      </c>
      <c r="AB40" s="310" t="e">
        <f>J40/AA40*100</f>
        <v>#DIV/0!</v>
      </c>
    </row>
    <row r="41" spans="1:28" ht="24" customHeight="1" hidden="1">
      <c r="A41" s="100" t="s">
        <v>90</v>
      </c>
      <c r="B41" s="135" t="s">
        <v>98</v>
      </c>
      <c r="C41" s="105"/>
      <c r="D41" s="105"/>
      <c r="E41" s="105"/>
      <c r="F41" s="198"/>
      <c r="G41" s="198"/>
      <c r="H41" s="198"/>
      <c r="I41" s="198"/>
      <c r="J41" s="198"/>
      <c r="K41" s="174"/>
      <c r="L41" s="178"/>
      <c r="M41" s="155"/>
      <c r="N41" s="155" t="e">
        <v>#DIV/0!</v>
      </c>
      <c r="O41" s="337"/>
      <c r="P41" s="210" t="e">
        <f t="shared" si="6"/>
        <v>#DIV/0!</v>
      </c>
      <c r="Q41" s="212"/>
      <c r="R41" s="210" t="e">
        <f t="shared" si="5"/>
        <v>#DIV/0!</v>
      </c>
      <c r="S41" s="213"/>
      <c r="T41" s="210" t="e">
        <f>J41/N41*100</f>
        <v>#DIV/0!</v>
      </c>
      <c r="U41" s="229"/>
      <c r="V41" s="219" t="e">
        <f>H41/U41*100</f>
        <v>#DIV/0!</v>
      </c>
      <c r="W41" s="192"/>
      <c r="X41" s="188"/>
      <c r="Y41" s="187"/>
      <c r="Z41" s="185"/>
      <c r="AA41" s="311" t="e">
        <f t="shared" si="1"/>
        <v>#DIV/0!</v>
      </c>
      <c r="AB41" s="310" t="e">
        <f>J41/AA41*100</f>
        <v>#DIV/0!</v>
      </c>
    </row>
    <row r="42" spans="1:30" s="89" customFormat="1" ht="24" customHeight="1">
      <c r="A42" s="99" t="s">
        <v>77</v>
      </c>
      <c r="B42" s="134" t="s">
        <v>98</v>
      </c>
      <c r="C42" s="104"/>
      <c r="D42" s="104"/>
      <c r="E42" s="104"/>
      <c r="F42" s="199">
        <f>647572/1000</f>
        <v>647.572</v>
      </c>
      <c r="G42" s="197"/>
      <c r="H42" s="199">
        <f>1002401/1000</f>
        <v>1002.401</v>
      </c>
      <c r="I42" s="197"/>
      <c r="J42" s="199">
        <f>2543147/1000</f>
        <v>2543.147</v>
      </c>
      <c r="K42" s="173"/>
      <c r="L42" s="195">
        <f>'[3]NKTW 11 (2)'!$AV$22/1000</f>
        <v>808.8999424732738</v>
      </c>
      <c r="M42" s="154"/>
      <c r="N42" s="154">
        <v>9316.059</v>
      </c>
      <c r="O42" s="337"/>
      <c r="P42" s="210">
        <v>154.79375266379648</v>
      </c>
      <c r="Q42" s="212"/>
      <c r="R42" s="210">
        <f t="shared" si="5"/>
        <v>123.92150714402104</v>
      </c>
      <c r="S42" s="213"/>
      <c r="T42" s="210">
        <v>106.74955684494589</v>
      </c>
      <c r="U42" s="230">
        <f>H42/T42</f>
        <v>9.39021228402841</v>
      </c>
      <c r="V42" s="219">
        <f>H42/U42*100</f>
        <v>10674.95568449459</v>
      </c>
      <c r="W42" s="191"/>
      <c r="X42" s="188"/>
      <c r="Y42" s="187">
        <f>889158/T38</f>
        <v>8351.254880260652</v>
      </c>
      <c r="Z42" s="185">
        <f>889158/Y42*100</f>
        <v>10646.998717541815</v>
      </c>
      <c r="AA42" s="309">
        <f t="shared" si="1"/>
        <v>2382.349</v>
      </c>
      <c r="AB42" s="310">
        <f>J42/AA42*100</f>
        <v>106.74955684494589</v>
      </c>
      <c r="AD42" s="77"/>
    </row>
    <row r="43" spans="1:27" ht="24" customHeight="1">
      <c r="A43" s="98" t="s">
        <v>96</v>
      </c>
      <c r="B43" s="136"/>
      <c r="C43" s="105"/>
      <c r="D43" s="105"/>
      <c r="E43" s="105"/>
      <c r="F43" s="148"/>
      <c r="G43" s="148"/>
      <c r="H43" s="148"/>
      <c r="I43" s="148"/>
      <c r="J43" s="148"/>
      <c r="K43" s="174"/>
      <c r="L43" s="174"/>
      <c r="M43" s="148"/>
      <c r="N43" s="181"/>
      <c r="O43" s="156"/>
      <c r="P43" s="210"/>
      <c r="Q43" s="212"/>
      <c r="R43" s="210"/>
      <c r="S43" s="212"/>
      <c r="T43" s="210"/>
      <c r="W43" s="192"/>
      <c r="X43" s="188"/>
      <c r="Y43" s="187">
        <f>Y42-Y45</f>
        <v>934.5964565635559</v>
      </c>
      <c r="Z43" s="185">
        <f>97433/Y43*100</f>
        <v>10425.141173577113</v>
      </c>
      <c r="AA43" s="309"/>
    </row>
    <row r="44" spans="1:26" ht="24" customHeight="1">
      <c r="A44" s="129" t="s">
        <v>163</v>
      </c>
      <c r="B44" s="140" t="s">
        <v>78</v>
      </c>
      <c r="C44" s="105"/>
      <c r="D44" s="105"/>
      <c r="E44" s="105"/>
      <c r="F44" s="148">
        <v>10967</v>
      </c>
      <c r="G44" s="148"/>
      <c r="H44" s="148">
        <v>21455</v>
      </c>
      <c r="I44" s="148"/>
      <c r="J44" s="148">
        <v>56410</v>
      </c>
      <c r="K44" s="174"/>
      <c r="L44" s="174">
        <v>138899</v>
      </c>
      <c r="M44" s="148"/>
      <c r="N44" s="148">
        <v>1303933</v>
      </c>
      <c r="O44" s="156"/>
      <c r="P44" s="210">
        <v>195.6323516002553</v>
      </c>
      <c r="Q44" s="212"/>
      <c r="R44" s="210">
        <f>H44/L44*100</f>
        <v>15.446475496583847</v>
      </c>
      <c r="S44" s="212"/>
      <c r="T44" s="210">
        <v>112.0335246569085</v>
      </c>
      <c r="W44" s="192"/>
      <c r="X44" s="188"/>
      <c r="Y44" s="187"/>
      <c r="Z44" s="185"/>
    </row>
    <row r="45" spans="1:27" s="89" customFormat="1" ht="24" customHeight="1">
      <c r="A45" s="227" t="s">
        <v>148</v>
      </c>
      <c r="B45" s="312" t="s">
        <v>78</v>
      </c>
      <c r="C45" s="104"/>
      <c r="D45" s="104"/>
      <c r="E45" s="104"/>
      <c r="F45" s="313">
        <v>91961</v>
      </c>
      <c r="G45" s="314"/>
      <c r="H45" s="313">
        <v>144432</v>
      </c>
      <c r="I45" s="151"/>
      <c r="J45" s="151">
        <v>355290</v>
      </c>
      <c r="K45" s="176"/>
      <c r="L45" s="176">
        <v>94637</v>
      </c>
      <c r="M45" s="151"/>
      <c r="N45" s="151">
        <v>1001811.9999999999</v>
      </c>
      <c r="O45" s="315"/>
      <c r="P45" s="210">
        <v>157.0578832331097</v>
      </c>
      <c r="Q45" s="268"/>
      <c r="R45" s="211">
        <f t="shared" si="5"/>
        <v>152.61684119319082</v>
      </c>
      <c r="S45" s="268"/>
      <c r="T45" s="211">
        <v>129.8906884071217</v>
      </c>
      <c r="U45" s="260">
        <f>H45/T45</f>
        <v>1111.9503774381492</v>
      </c>
      <c r="V45" s="260">
        <f>H45/U45*100</f>
        <v>12989.06884071217</v>
      </c>
      <c r="W45" s="261">
        <f>H45/F45*100</f>
        <v>157.0578832331097</v>
      </c>
      <c r="X45" s="262"/>
      <c r="Y45" s="263">
        <f>791725/T42</f>
        <v>7416.658423697097</v>
      </c>
      <c r="Z45" s="264">
        <f>791725/Y45*100</f>
        <v>10674.95568449459</v>
      </c>
      <c r="AA45" s="316"/>
    </row>
    <row r="46" spans="1:27" s="89" customFormat="1" ht="24" customHeight="1">
      <c r="A46" s="317" t="s">
        <v>94</v>
      </c>
      <c r="B46" s="312" t="s">
        <v>78</v>
      </c>
      <c r="C46" s="104"/>
      <c r="D46" s="104"/>
      <c r="E46" s="104"/>
      <c r="F46" s="313">
        <v>62264</v>
      </c>
      <c r="G46" s="314"/>
      <c r="H46" s="313">
        <v>82730</v>
      </c>
      <c r="I46" s="151"/>
      <c r="J46" s="151">
        <v>229392</v>
      </c>
      <c r="K46" s="176"/>
      <c r="L46" s="176">
        <v>89787</v>
      </c>
      <c r="M46" s="151"/>
      <c r="N46" s="151">
        <v>1037225</v>
      </c>
      <c r="O46" s="315"/>
      <c r="P46" s="210">
        <v>132.86971604779646</v>
      </c>
      <c r="Q46" s="268"/>
      <c r="R46" s="211">
        <f t="shared" si="5"/>
        <v>92.14028756946998</v>
      </c>
      <c r="S46" s="268"/>
      <c r="T46" s="211">
        <v>71.49999376613015</v>
      </c>
      <c r="U46" s="260">
        <f aca="true" t="shared" si="7" ref="U46:U67">H46/T46</f>
        <v>1157.0630379437816</v>
      </c>
      <c r="V46" s="260">
        <f aca="true" t="shared" si="8" ref="V46:V67">H46/U46*100</f>
        <v>7149.999376613015</v>
      </c>
      <c r="W46" s="261">
        <f aca="true" t="shared" si="9" ref="W46:W67">H46/F46*100</f>
        <v>132.86971604779646</v>
      </c>
      <c r="X46" s="262"/>
      <c r="Y46" s="263"/>
      <c r="Z46" s="264"/>
      <c r="AA46" s="316"/>
    </row>
    <row r="47" spans="1:27" s="89" customFormat="1" ht="24" customHeight="1">
      <c r="A47" s="227" t="s">
        <v>149</v>
      </c>
      <c r="B47" s="312" t="s">
        <v>78</v>
      </c>
      <c r="C47" s="104"/>
      <c r="D47" s="104"/>
      <c r="E47" s="104"/>
      <c r="F47" s="313">
        <v>42645</v>
      </c>
      <c r="G47" s="314"/>
      <c r="H47" s="313">
        <v>60016</v>
      </c>
      <c r="I47" s="318"/>
      <c r="J47" s="151">
        <v>191998</v>
      </c>
      <c r="K47" s="176"/>
      <c r="L47" s="176">
        <v>72368</v>
      </c>
      <c r="M47" s="151"/>
      <c r="N47" s="151">
        <v>943757</v>
      </c>
      <c r="O47" s="315"/>
      <c r="P47" s="210">
        <v>140.7339664673467</v>
      </c>
      <c r="Q47" s="268"/>
      <c r="R47" s="211">
        <f t="shared" si="5"/>
        <v>82.93168251160733</v>
      </c>
      <c r="S47" s="268"/>
      <c r="T47" s="211">
        <v>120.3598294884654</v>
      </c>
      <c r="U47" s="260">
        <f t="shared" si="7"/>
        <v>498.6381274804946</v>
      </c>
      <c r="V47" s="260">
        <f t="shared" si="8"/>
        <v>12035.98294884654</v>
      </c>
      <c r="W47" s="261">
        <f t="shared" si="9"/>
        <v>140.7339664673467</v>
      </c>
      <c r="X47" s="262"/>
      <c r="Y47" s="263"/>
      <c r="Z47" s="264"/>
      <c r="AA47" s="316"/>
    </row>
    <row r="48" spans="1:27" s="89" customFormat="1" ht="24" customHeight="1">
      <c r="A48" s="317" t="s">
        <v>93</v>
      </c>
      <c r="B48" s="312" t="s">
        <v>78</v>
      </c>
      <c r="C48" s="104"/>
      <c r="D48" s="104"/>
      <c r="E48" s="104"/>
      <c r="F48" s="313">
        <v>46351</v>
      </c>
      <c r="G48" s="314"/>
      <c r="H48" s="313">
        <v>58963</v>
      </c>
      <c r="I48" s="151"/>
      <c r="J48" s="151">
        <v>169862</v>
      </c>
      <c r="K48" s="176"/>
      <c r="L48" s="176">
        <v>71820</v>
      </c>
      <c r="M48" s="151"/>
      <c r="N48" s="151">
        <v>813696</v>
      </c>
      <c r="O48" s="315"/>
      <c r="P48" s="210">
        <v>127.20976893702401</v>
      </c>
      <c r="Q48" s="268"/>
      <c r="R48" s="211">
        <f t="shared" si="5"/>
        <v>82.09830130882763</v>
      </c>
      <c r="S48" s="268"/>
      <c r="T48" s="211">
        <v>89.68379258821231</v>
      </c>
      <c r="U48" s="260">
        <f t="shared" si="7"/>
        <v>657.4543548880856</v>
      </c>
      <c r="V48" s="260">
        <f t="shared" si="8"/>
        <v>8968.37925882123</v>
      </c>
      <c r="W48" s="261">
        <f t="shared" si="9"/>
        <v>127.20976893702401</v>
      </c>
      <c r="X48" s="262"/>
      <c r="Y48" s="263"/>
      <c r="Z48" s="264"/>
      <c r="AA48" s="316"/>
    </row>
    <row r="49" spans="1:27" s="89" customFormat="1" ht="24" customHeight="1">
      <c r="A49" s="227" t="s">
        <v>150</v>
      </c>
      <c r="B49" s="312" t="s">
        <v>78</v>
      </c>
      <c r="C49" s="104"/>
      <c r="D49" s="104"/>
      <c r="E49" s="104"/>
      <c r="F49" s="313">
        <v>35697</v>
      </c>
      <c r="G49" s="314"/>
      <c r="H49" s="313">
        <v>55377</v>
      </c>
      <c r="I49" s="151"/>
      <c r="J49" s="151">
        <v>155372</v>
      </c>
      <c r="K49" s="176"/>
      <c r="L49" s="176">
        <v>47983</v>
      </c>
      <c r="M49" s="151"/>
      <c r="N49" s="151">
        <v>676136</v>
      </c>
      <c r="O49" s="315"/>
      <c r="P49" s="210">
        <f t="shared" si="6"/>
        <v>155.13068325069335</v>
      </c>
      <c r="Q49" s="268"/>
      <c r="R49" s="211">
        <f t="shared" si="5"/>
        <v>115.409624241919</v>
      </c>
      <c r="S49" s="268"/>
      <c r="T49" s="211">
        <v>112.05896777543778</v>
      </c>
      <c r="U49" s="260">
        <f t="shared" si="7"/>
        <v>494.1773166336277</v>
      </c>
      <c r="V49" s="260">
        <f t="shared" si="8"/>
        <v>11205.896777543778</v>
      </c>
      <c r="W49" s="261">
        <f t="shared" si="9"/>
        <v>155.13068325069335</v>
      </c>
      <c r="X49" s="262"/>
      <c r="Y49" s="263"/>
      <c r="Z49" s="264"/>
      <c r="AA49" s="316"/>
    </row>
    <row r="50" spans="1:27" s="89" customFormat="1" ht="24" customHeight="1">
      <c r="A50" s="317" t="s">
        <v>99</v>
      </c>
      <c r="B50" s="312" t="s">
        <v>78</v>
      </c>
      <c r="C50" s="104"/>
      <c r="D50" s="104"/>
      <c r="E50" s="104"/>
      <c r="F50" s="313">
        <v>34064</v>
      </c>
      <c r="G50" s="319"/>
      <c r="H50" s="313">
        <v>45971</v>
      </c>
      <c r="I50" s="318"/>
      <c r="J50" s="151">
        <v>122609</v>
      </c>
      <c r="K50" s="176"/>
      <c r="L50" s="176">
        <v>37340</v>
      </c>
      <c r="M50" s="151"/>
      <c r="N50" s="151">
        <v>829039.0000000001</v>
      </c>
      <c r="O50" s="315"/>
      <c r="P50" s="210">
        <f t="shared" si="6"/>
        <v>134.95479098168155</v>
      </c>
      <c r="Q50" s="268"/>
      <c r="R50" s="211">
        <f t="shared" si="5"/>
        <v>123.11462238885913</v>
      </c>
      <c r="S50" s="268"/>
      <c r="T50" s="211">
        <v>90.34299819474634</v>
      </c>
      <c r="U50" s="260">
        <f t="shared" si="7"/>
        <v>508.8496166676182</v>
      </c>
      <c r="V50" s="260">
        <f t="shared" si="8"/>
        <v>9034.299819474634</v>
      </c>
      <c r="W50" s="261">
        <f t="shared" si="9"/>
        <v>134.95479098168155</v>
      </c>
      <c r="X50" s="262"/>
      <c r="Y50" s="263"/>
      <c r="Z50" s="264"/>
      <c r="AA50" s="316"/>
    </row>
    <row r="51" spans="1:27" s="89" customFormat="1" ht="24" customHeight="1">
      <c r="A51" s="227" t="s">
        <v>151</v>
      </c>
      <c r="B51" s="312" t="s">
        <v>78</v>
      </c>
      <c r="C51" s="104"/>
      <c r="D51" s="104"/>
      <c r="E51" s="104"/>
      <c r="F51" s="313">
        <v>28339</v>
      </c>
      <c r="G51" s="319"/>
      <c r="H51" s="313">
        <v>55456</v>
      </c>
      <c r="I51" s="318"/>
      <c r="J51" s="151">
        <v>159854</v>
      </c>
      <c r="K51" s="176"/>
      <c r="L51" s="176">
        <v>68895</v>
      </c>
      <c r="M51" s="151"/>
      <c r="N51" s="151">
        <v>701965</v>
      </c>
      <c r="O51" s="315"/>
      <c r="P51" s="210">
        <f t="shared" si="6"/>
        <v>195.68792123928156</v>
      </c>
      <c r="Q51" s="268"/>
      <c r="R51" s="211">
        <f t="shared" si="5"/>
        <v>80.49350460846215</v>
      </c>
      <c r="S51" s="268"/>
      <c r="T51" s="211">
        <v>112.57878909523708</v>
      </c>
      <c r="U51" s="260">
        <f t="shared" si="7"/>
        <v>492.5972329750898</v>
      </c>
      <c r="V51" s="260">
        <f t="shared" si="8"/>
        <v>11257.878909523708</v>
      </c>
      <c r="W51" s="261">
        <f t="shared" si="9"/>
        <v>195.68792123928156</v>
      </c>
      <c r="X51" s="262"/>
      <c r="Y51" s="263"/>
      <c r="Z51" s="264"/>
      <c r="AA51" s="316"/>
    </row>
    <row r="52" spans="1:27" s="89" customFormat="1" ht="24" customHeight="1">
      <c r="A52" s="225" t="s">
        <v>138</v>
      </c>
      <c r="B52" s="312" t="s">
        <v>78</v>
      </c>
      <c r="C52" s="104"/>
      <c r="D52" s="104"/>
      <c r="E52" s="104"/>
      <c r="F52" s="313">
        <v>57544</v>
      </c>
      <c r="G52" s="314"/>
      <c r="H52" s="313">
        <v>109163</v>
      </c>
      <c r="I52" s="318"/>
      <c r="J52" s="151">
        <v>223129</v>
      </c>
      <c r="K52" s="176"/>
      <c r="L52" s="176">
        <v>42578</v>
      </c>
      <c r="M52" s="151"/>
      <c r="N52" s="151">
        <v>500275</v>
      </c>
      <c r="O52" s="315"/>
      <c r="P52" s="210">
        <f t="shared" si="6"/>
        <v>189.70353121089948</v>
      </c>
      <c r="Q52" s="268"/>
      <c r="R52" s="211">
        <f t="shared" si="5"/>
        <v>256.38357837380806</v>
      </c>
      <c r="S52" s="268"/>
      <c r="T52" s="211">
        <v>185.17390474451648</v>
      </c>
      <c r="U52" s="260">
        <f t="shared" si="7"/>
        <v>589.5161100081118</v>
      </c>
      <c r="V52" s="260">
        <f t="shared" si="8"/>
        <v>18517.390474451648</v>
      </c>
      <c r="W52" s="261">
        <f t="shared" si="9"/>
        <v>189.70353121089948</v>
      </c>
      <c r="X52" s="262"/>
      <c r="Y52" s="263"/>
      <c r="Z52" s="264"/>
      <c r="AA52" s="316"/>
    </row>
    <row r="53" spans="1:27" s="89" customFormat="1" ht="24" customHeight="1">
      <c r="A53" s="225" t="s">
        <v>152</v>
      </c>
      <c r="B53" s="312" t="s">
        <v>78</v>
      </c>
      <c r="C53" s="104"/>
      <c r="D53" s="104"/>
      <c r="E53" s="104"/>
      <c r="F53" s="313">
        <v>7180</v>
      </c>
      <c r="G53" s="314"/>
      <c r="H53" s="313">
        <v>19103</v>
      </c>
      <c r="I53" s="318"/>
      <c r="J53" s="151">
        <v>57584</v>
      </c>
      <c r="K53" s="176"/>
      <c r="L53" s="176">
        <v>53333</v>
      </c>
      <c r="M53" s="151"/>
      <c r="N53" s="151">
        <v>465360.99999999994</v>
      </c>
      <c r="O53" s="315"/>
      <c r="P53" s="210">
        <f t="shared" si="6"/>
        <v>266.058495821727</v>
      </c>
      <c r="Q53" s="268"/>
      <c r="R53" s="211">
        <f t="shared" si="5"/>
        <v>35.8183488646804</v>
      </c>
      <c r="S53" s="268"/>
      <c r="T53" s="211">
        <v>44.88335658666999</v>
      </c>
      <c r="U53" s="260">
        <f t="shared" si="7"/>
        <v>425.61433575298696</v>
      </c>
      <c r="V53" s="260">
        <f t="shared" si="8"/>
        <v>4488.335658666999</v>
      </c>
      <c r="W53" s="261">
        <f t="shared" si="9"/>
        <v>266.058495821727</v>
      </c>
      <c r="X53" s="262"/>
      <c r="Y53" s="263"/>
      <c r="Z53" s="264"/>
      <c r="AA53" s="316"/>
    </row>
    <row r="54" spans="1:27" s="89" customFormat="1" ht="24" customHeight="1">
      <c r="A54" s="227" t="s">
        <v>143</v>
      </c>
      <c r="B54" s="312" t="s">
        <v>78</v>
      </c>
      <c r="C54" s="104"/>
      <c r="D54" s="104"/>
      <c r="E54" s="104"/>
      <c r="F54" s="313">
        <v>20014</v>
      </c>
      <c r="G54" s="314"/>
      <c r="H54" s="313">
        <v>35778</v>
      </c>
      <c r="I54" s="318"/>
      <c r="J54" s="151">
        <v>93057</v>
      </c>
      <c r="K54" s="176"/>
      <c r="L54" s="176">
        <v>35144</v>
      </c>
      <c r="M54" s="151"/>
      <c r="N54" s="151">
        <v>466602.00000000006</v>
      </c>
      <c r="O54" s="315"/>
      <c r="P54" s="210">
        <f t="shared" si="6"/>
        <v>178.76486459478366</v>
      </c>
      <c r="Q54" s="268"/>
      <c r="R54" s="211">
        <f t="shared" si="5"/>
        <v>101.80400637377647</v>
      </c>
      <c r="S54" s="268"/>
      <c r="T54" s="211">
        <v>110.8151235486752</v>
      </c>
      <c r="U54" s="260">
        <f t="shared" si="7"/>
        <v>322.86206840968435</v>
      </c>
      <c r="V54" s="260">
        <f t="shared" si="8"/>
        <v>11081.512354867522</v>
      </c>
      <c r="W54" s="261">
        <f t="shared" si="9"/>
        <v>178.76486459478366</v>
      </c>
      <c r="X54" s="262"/>
      <c r="Y54" s="263"/>
      <c r="Z54" s="264"/>
      <c r="AA54" s="316"/>
    </row>
    <row r="55" spans="1:27" s="89" customFormat="1" ht="24" customHeight="1">
      <c r="A55" s="317" t="s">
        <v>102</v>
      </c>
      <c r="B55" s="312" t="s">
        <v>78</v>
      </c>
      <c r="C55" s="104"/>
      <c r="D55" s="104"/>
      <c r="E55" s="104"/>
      <c r="F55" s="313">
        <v>30563</v>
      </c>
      <c r="G55" s="314"/>
      <c r="H55" s="313">
        <v>47075</v>
      </c>
      <c r="I55" s="151"/>
      <c r="J55" s="151">
        <v>118364</v>
      </c>
      <c r="K55" s="176"/>
      <c r="L55" s="176">
        <v>34914</v>
      </c>
      <c r="M55" s="151"/>
      <c r="N55" s="151">
        <v>419097.99999999994</v>
      </c>
      <c r="O55" s="315"/>
      <c r="P55" s="210">
        <f t="shared" si="6"/>
        <v>154.02611000229035</v>
      </c>
      <c r="Q55" s="268"/>
      <c r="R55" s="211">
        <f t="shared" si="5"/>
        <v>134.8312997651372</v>
      </c>
      <c r="S55" s="268"/>
      <c r="T55" s="211">
        <v>110.29174703454187</v>
      </c>
      <c r="U55" s="260">
        <f t="shared" si="7"/>
        <v>426.8225072657227</v>
      </c>
      <c r="V55" s="260">
        <f t="shared" si="8"/>
        <v>11029.174703454188</v>
      </c>
      <c r="W55" s="261">
        <f t="shared" si="9"/>
        <v>154.02611000229035</v>
      </c>
      <c r="X55" s="262"/>
      <c r="Y55" s="263"/>
      <c r="Z55" s="264"/>
      <c r="AA55" s="316"/>
    </row>
    <row r="56" spans="1:27" s="89" customFormat="1" ht="24" customHeight="1">
      <c r="A56" s="320" t="s">
        <v>159</v>
      </c>
      <c r="B56" s="312" t="s">
        <v>78</v>
      </c>
      <c r="C56" s="104"/>
      <c r="D56" s="104"/>
      <c r="E56" s="104"/>
      <c r="F56" s="313">
        <v>27200</v>
      </c>
      <c r="G56" s="314"/>
      <c r="H56" s="313">
        <v>48959</v>
      </c>
      <c r="I56" s="318"/>
      <c r="J56" s="151">
        <v>111022</v>
      </c>
      <c r="K56" s="176"/>
      <c r="L56" s="176">
        <v>20454</v>
      </c>
      <c r="M56" s="151"/>
      <c r="N56" s="151">
        <v>228323</v>
      </c>
      <c r="O56" s="315"/>
      <c r="P56" s="210">
        <f t="shared" si="6"/>
        <v>179.99632352941177</v>
      </c>
      <c r="Q56" s="268"/>
      <c r="R56" s="211">
        <f t="shared" si="5"/>
        <v>239.3614940842867</v>
      </c>
      <c r="S56" s="268"/>
      <c r="T56" s="211">
        <v>160.731400112924</v>
      </c>
      <c r="U56" s="260">
        <f t="shared" si="7"/>
        <v>304.6013409054061</v>
      </c>
      <c r="V56" s="260">
        <f t="shared" si="8"/>
        <v>16073.1400112924</v>
      </c>
      <c r="W56" s="261">
        <f t="shared" si="9"/>
        <v>179.99632352941177</v>
      </c>
      <c r="X56" s="262"/>
      <c r="Y56" s="263"/>
      <c r="Z56" s="264"/>
      <c r="AA56" s="316"/>
    </row>
    <row r="57" spans="1:27" s="89" customFormat="1" ht="24" customHeight="1">
      <c r="A57" s="317" t="s">
        <v>105</v>
      </c>
      <c r="B57" s="312" t="s">
        <v>78</v>
      </c>
      <c r="C57" s="104"/>
      <c r="D57" s="104"/>
      <c r="E57" s="104"/>
      <c r="F57" s="313">
        <v>20796</v>
      </c>
      <c r="G57" s="314"/>
      <c r="H57" s="313">
        <v>16059</v>
      </c>
      <c r="I57" s="151"/>
      <c r="J57" s="151">
        <v>54712</v>
      </c>
      <c r="K57" s="176"/>
      <c r="L57" s="176">
        <v>18579</v>
      </c>
      <c r="M57" s="151"/>
      <c r="N57" s="151">
        <v>235328.00000000003</v>
      </c>
      <c r="O57" s="315"/>
      <c r="P57" s="210">
        <f t="shared" si="6"/>
        <v>77.22158107328332</v>
      </c>
      <c r="Q57" s="268"/>
      <c r="R57" s="211">
        <f t="shared" si="5"/>
        <v>86.43629904731148</v>
      </c>
      <c r="S57" s="268"/>
      <c r="T57" s="211">
        <v>98.3851825211293</v>
      </c>
      <c r="U57" s="260">
        <f t="shared" si="7"/>
        <v>163.22579872788418</v>
      </c>
      <c r="V57" s="260">
        <f t="shared" si="8"/>
        <v>9838.51825211293</v>
      </c>
      <c r="W57" s="261">
        <f t="shared" si="9"/>
        <v>77.22158107328332</v>
      </c>
      <c r="X57" s="262"/>
      <c r="Y57" s="263"/>
      <c r="Z57" s="264"/>
      <c r="AA57" s="316"/>
    </row>
    <row r="58" spans="1:27" s="89" customFormat="1" ht="24" customHeight="1">
      <c r="A58" s="227" t="s">
        <v>153</v>
      </c>
      <c r="B58" s="312" t="s">
        <v>78</v>
      </c>
      <c r="C58" s="104"/>
      <c r="D58" s="104"/>
      <c r="E58" s="104"/>
      <c r="F58" s="313">
        <v>17528</v>
      </c>
      <c r="G58" s="314"/>
      <c r="H58" s="313">
        <v>29630</v>
      </c>
      <c r="I58" s="151"/>
      <c r="J58" s="151">
        <v>63131</v>
      </c>
      <c r="K58" s="176"/>
      <c r="L58" s="176">
        <v>12237</v>
      </c>
      <c r="M58" s="151"/>
      <c r="N58" s="151">
        <v>107789.00000000001</v>
      </c>
      <c r="O58" s="315"/>
      <c r="P58" s="210">
        <f t="shared" si="6"/>
        <v>169.0438156093108</v>
      </c>
      <c r="Q58" s="268"/>
      <c r="R58" s="211">
        <f t="shared" si="5"/>
        <v>242.13451009234288</v>
      </c>
      <c r="S58" s="268"/>
      <c r="T58" s="211">
        <v>126.75380476247841</v>
      </c>
      <c r="U58" s="260">
        <f t="shared" si="7"/>
        <v>233.76024140279736</v>
      </c>
      <c r="V58" s="260">
        <f t="shared" si="8"/>
        <v>12675.380476247841</v>
      </c>
      <c r="W58" s="261">
        <f t="shared" si="9"/>
        <v>169.0438156093108</v>
      </c>
      <c r="X58" s="262"/>
      <c r="Y58" s="263"/>
      <c r="Z58" s="264"/>
      <c r="AA58" s="316"/>
    </row>
    <row r="59" spans="1:27" s="89" customFormat="1" ht="24" customHeight="1">
      <c r="A59" s="317" t="s">
        <v>92</v>
      </c>
      <c r="B59" s="312" t="s">
        <v>78</v>
      </c>
      <c r="C59" s="104"/>
      <c r="D59" s="104"/>
      <c r="E59" s="104"/>
      <c r="F59" s="313">
        <v>13480</v>
      </c>
      <c r="G59" s="314"/>
      <c r="H59" s="313">
        <v>19237</v>
      </c>
      <c r="I59" s="151"/>
      <c r="J59" s="151">
        <v>51150</v>
      </c>
      <c r="K59" s="176"/>
      <c r="L59" s="176">
        <v>16706</v>
      </c>
      <c r="M59" s="151"/>
      <c r="N59" s="151">
        <v>183504.00000000003</v>
      </c>
      <c r="O59" s="315"/>
      <c r="P59" s="210">
        <f t="shared" si="6"/>
        <v>142.70771513353117</v>
      </c>
      <c r="Q59" s="268"/>
      <c r="R59" s="211">
        <f t="shared" si="5"/>
        <v>115.1502454208069</v>
      </c>
      <c r="S59" s="268"/>
      <c r="T59" s="211">
        <v>105.70365778053316</v>
      </c>
      <c r="U59" s="260">
        <f t="shared" si="7"/>
        <v>181.98991788856307</v>
      </c>
      <c r="V59" s="260">
        <f t="shared" si="8"/>
        <v>10570.365778053314</v>
      </c>
      <c r="W59" s="261">
        <f t="shared" si="9"/>
        <v>142.70771513353117</v>
      </c>
      <c r="X59" s="262"/>
      <c r="Y59" s="263"/>
      <c r="Z59" s="264"/>
      <c r="AA59" s="316"/>
    </row>
    <row r="60" spans="1:27" s="89" customFormat="1" ht="24" customHeight="1">
      <c r="A60" s="317" t="s">
        <v>154</v>
      </c>
      <c r="B60" s="312" t="s">
        <v>78</v>
      </c>
      <c r="C60" s="104"/>
      <c r="D60" s="104"/>
      <c r="E60" s="104"/>
      <c r="F60" s="313">
        <v>13831</v>
      </c>
      <c r="G60" s="314"/>
      <c r="H60" s="313">
        <v>23797</v>
      </c>
      <c r="I60" s="151"/>
      <c r="J60" s="151">
        <v>55569</v>
      </c>
      <c r="K60" s="176"/>
      <c r="L60" s="176">
        <v>16298</v>
      </c>
      <c r="M60" s="151"/>
      <c r="N60" s="151">
        <v>165945</v>
      </c>
      <c r="O60" s="315"/>
      <c r="P60" s="210">
        <f t="shared" si="6"/>
        <v>172.0555274383631</v>
      </c>
      <c r="Q60" s="268"/>
      <c r="R60" s="211">
        <f t="shared" si="5"/>
        <v>146.01178058657504</v>
      </c>
      <c r="S60" s="268"/>
      <c r="T60" s="211">
        <v>131.64266085473326</v>
      </c>
      <c r="U60" s="260">
        <f t="shared" si="7"/>
        <v>180.76966726052294</v>
      </c>
      <c r="V60" s="260">
        <f t="shared" si="8"/>
        <v>13164.266085473326</v>
      </c>
      <c r="W60" s="261">
        <f t="shared" si="9"/>
        <v>172.0555274383631</v>
      </c>
      <c r="X60" s="262"/>
      <c r="Y60" s="263"/>
      <c r="Z60" s="264"/>
      <c r="AA60" s="316"/>
    </row>
    <row r="61" spans="1:27" s="89" customFormat="1" ht="24" customHeight="1">
      <c r="A61" s="227" t="s">
        <v>155</v>
      </c>
      <c r="B61" s="312" t="s">
        <v>78</v>
      </c>
      <c r="C61" s="104"/>
      <c r="D61" s="104"/>
      <c r="E61" s="104"/>
      <c r="F61" s="313">
        <v>67267</v>
      </c>
      <c r="G61" s="319"/>
      <c r="H61" s="313">
        <v>78978</v>
      </c>
      <c r="I61" s="318"/>
      <c r="J61" s="151">
        <v>167491</v>
      </c>
      <c r="K61" s="176"/>
      <c r="L61" s="176">
        <v>16458</v>
      </c>
      <c r="M61" s="151"/>
      <c r="N61" s="151">
        <v>148217</v>
      </c>
      <c r="O61" s="315"/>
      <c r="P61" s="210">
        <f t="shared" si="6"/>
        <v>117.40972542256975</v>
      </c>
      <c r="Q61" s="268"/>
      <c r="R61" s="211">
        <f t="shared" si="5"/>
        <v>479.8760481224936</v>
      </c>
      <c r="S61" s="268"/>
      <c r="T61" s="211">
        <v>176.6596350595929</v>
      </c>
      <c r="U61" s="260">
        <f t="shared" si="7"/>
        <v>447.06307682203817</v>
      </c>
      <c r="V61" s="260">
        <f t="shared" si="8"/>
        <v>17665.963505959287</v>
      </c>
      <c r="W61" s="261">
        <f t="shared" si="9"/>
        <v>117.40972542256975</v>
      </c>
      <c r="X61" s="262"/>
      <c r="Y61" s="263"/>
      <c r="Z61" s="264"/>
      <c r="AA61" s="316"/>
    </row>
    <row r="62" spans="1:27" s="89" customFormat="1" ht="24" customHeight="1">
      <c r="A62" s="317" t="s">
        <v>101</v>
      </c>
      <c r="B62" s="312" t="s">
        <v>78</v>
      </c>
      <c r="C62" s="104"/>
      <c r="D62" s="104"/>
      <c r="E62" s="104"/>
      <c r="F62" s="313">
        <v>7731</v>
      </c>
      <c r="G62" s="314"/>
      <c r="H62" s="313">
        <v>18104</v>
      </c>
      <c r="I62" s="318"/>
      <c r="J62" s="151">
        <v>34170</v>
      </c>
      <c r="K62" s="176"/>
      <c r="L62" s="176">
        <v>11308</v>
      </c>
      <c r="M62" s="151"/>
      <c r="N62" s="151">
        <v>90564.99999999999</v>
      </c>
      <c r="O62" s="315"/>
      <c r="P62" s="210">
        <f t="shared" si="6"/>
        <v>234.17410425559436</v>
      </c>
      <c r="Q62" s="268"/>
      <c r="R62" s="211">
        <f t="shared" si="5"/>
        <v>160.09904492394764</v>
      </c>
      <c r="S62" s="268"/>
      <c r="T62" s="211">
        <v>101.44282151763448</v>
      </c>
      <c r="U62" s="260">
        <f t="shared" si="7"/>
        <v>178.46506760316066</v>
      </c>
      <c r="V62" s="260">
        <f t="shared" si="8"/>
        <v>10144.28215176345</v>
      </c>
      <c r="W62" s="261">
        <f t="shared" si="9"/>
        <v>234.17410425559436</v>
      </c>
      <c r="X62" s="262"/>
      <c r="Y62" s="263"/>
      <c r="Z62" s="264"/>
      <c r="AA62" s="316"/>
    </row>
    <row r="63" spans="1:27" s="89" customFormat="1" ht="24" customHeight="1">
      <c r="A63" s="227" t="s">
        <v>156</v>
      </c>
      <c r="B63" s="312" t="s">
        <v>78</v>
      </c>
      <c r="C63" s="104"/>
      <c r="D63" s="104"/>
      <c r="E63" s="104"/>
      <c r="F63" s="313">
        <v>6999</v>
      </c>
      <c r="G63" s="314"/>
      <c r="H63" s="313">
        <v>11353</v>
      </c>
      <c r="I63" s="318"/>
      <c r="J63" s="151">
        <v>30030</v>
      </c>
      <c r="K63" s="176"/>
      <c r="L63" s="176">
        <v>11623</v>
      </c>
      <c r="M63" s="151"/>
      <c r="N63" s="151">
        <v>106303</v>
      </c>
      <c r="O63" s="315"/>
      <c r="P63" s="210">
        <f t="shared" si="6"/>
        <v>162.20888698385482</v>
      </c>
      <c r="Q63" s="268"/>
      <c r="R63" s="211">
        <f t="shared" si="5"/>
        <v>97.67701970231437</v>
      </c>
      <c r="S63" s="268"/>
      <c r="T63" s="211">
        <v>106.60655330327664</v>
      </c>
      <c r="U63" s="260">
        <f t="shared" si="7"/>
        <v>106.49439127539128</v>
      </c>
      <c r="V63" s="260">
        <f t="shared" si="8"/>
        <v>10660.655330327663</v>
      </c>
      <c r="W63" s="261">
        <f t="shared" si="9"/>
        <v>162.20888698385482</v>
      </c>
      <c r="X63" s="262"/>
      <c r="Y63" s="263"/>
      <c r="Z63" s="264"/>
      <c r="AA63" s="316"/>
    </row>
    <row r="64" spans="1:27" s="89" customFormat="1" ht="24" customHeight="1">
      <c r="A64" s="317" t="s">
        <v>100</v>
      </c>
      <c r="B64" s="312" t="s">
        <v>78</v>
      </c>
      <c r="C64" s="104"/>
      <c r="D64" s="104"/>
      <c r="E64" s="104"/>
      <c r="F64" s="313">
        <v>3477</v>
      </c>
      <c r="G64" s="314"/>
      <c r="H64" s="313">
        <v>4222</v>
      </c>
      <c r="I64" s="151"/>
      <c r="J64" s="151">
        <v>8889</v>
      </c>
      <c r="K64" s="176"/>
      <c r="L64" s="176">
        <v>10568</v>
      </c>
      <c r="M64" s="151"/>
      <c r="N64" s="151">
        <v>127446</v>
      </c>
      <c r="O64" s="315"/>
      <c r="P64" s="210">
        <f t="shared" si="6"/>
        <v>121.42651711245327</v>
      </c>
      <c r="Q64" s="268"/>
      <c r="R64" s="211">
        <f t="shared" si="5"/>
        <v>39.95079485238456</v>
      </c>
      <c r="S64" s="268"/>
      <c r="T64" s="211">
        <v>44.11852293031566</v>
      </c>
      <c r="U64" s="260">
        <f t="shared" si="7"/>
        <v>95.69676679041513</v>
      </c>
      <c r="V64" s="260">
        <f t="shared" si="8"/>
        <v>4411.852293031567</v>
      </c>
      <c r="W64" s="261">
        <f t="shared" si="9"/>
        <v>121.42651711245327</v>
      </c>
      <c r="X64" s="262"/>
      <c r="Y64" s="263"/>
      <c r="Z64" s="264"/>
      <c r="AA64" s="316"/>
    </row>
    <row r="65" spans="1:27" s="89" customFormat="1" ht="24" customHeight="1">
      <c r="A65" s="317" t="s">
        <v>103</v>
      </c>
      <c r="B65" s="312" t="s">
        <v>78</v>
      </c>
      <c r="C65" s="104"/>
      <c r="D65" s="104"/>
      <c r="E65" s="104"/>
      <c r="F65" s="313">
        <v>4667</v>
      </c>
      <c r="G65" s="314"/>
      <c r="H65" s="313">
        <v>7657</v>
      </c>
      <c r="I65" s="151"/>
      <c r="J65" s="151">
        <v>18549</v>
      </c>
      <c r="K65" s="176"/>
      <c r="L65" s="176">
        <v>3166</v>
      </c>
      <c r="M65" s="151"/>
      <c r="N65" s="151">
        <v>27927.000000000004</v>
      </c>
      <c r="O65" s="315"/>
      <c r="P65" s="210">
        <f t="shared" si="6"/>
        <v>164.06685236768803</v>
      </c>
      <c r="Q65" s="268"/>
      <c r="R65" s="211">
        <f t="shared" si="5"/>
        <v>241.85091598231207</v>
      </c>
      <c r="S65" s="268"/>
      <c r="T65" s="211">
        <v>198.89556079776966</v>
      </c>
      <c r="U65" s="260">
        <f t="shared" si="7"/>
        <v>38.49759124481104</v>
      </c>
      <c r="V65" s="260">
        <f t="shared" si="8"/>
        <v>19889.55607977697</v>
      </c>
      <c r="W65" s="261">
        <f t="shared" si="9"/>
        <v>164.06685236768803</v>
      </c>
      <c r="X65" s="262"/>
      <c r="Y65" s="263"/>
      <c r="Z65" s="264"/>
      <c r="AA65" s="316"/>
    </row>
    <row r="66" spans="1:27" s="89" customFormat="1" ht="24" customHeight="1">
      <c r="A66" s="317" t="s">
        <v>125</v>
      </c>
      <c r="B66" s="312" t="s">
        <v>12</v>
      </c>
      <c r="C66" s="104"/>
      <c r="D66" s="104"/>
      <c r="E66" s="271">
        <v>62927</v>
      </c>
      <c r="F66" s="313">
        <v>15433</v>
      </c>
      <c r="G66" s="151">
        <v>80250</v>
      </c>
      <c r="H66" s="313">
        <v>29778</v>
      </c>
      <c r="I66" s="151">
        <v>424612</v>
      </c>
      <c r="J66" s="151">
        <v>111811</v>
      </c>
      <c r="K66" s="176">
        <v>49166</v>
      </c>
      <c r="L66" s="176">
        <v>17704</v>
      </c>
      <c r="M66" s="151">
        <v>616533.9999999999</v>
      </c>
      <c r="N66" s="151">
        <v>209578.00000000003</v>
      </c>
      <c r="O66" s="321">
        <f>G66/E66*100</f>
        <v>127.52872375927662</v>
      </c>
      <c r="P66" s="210">
        <f t="shared" si="6"/>
        <v>192.95017170997212</v>
      </c>
      <c r="Q66" s="211">
        <f t="shared" si="5"/>
        <v>163.22255217019892</v>
      </c>
      <c r="R66" s="211">
        <f t="shared" si="5"/>
        <v>168.19927699954812</v>
      </c>
      <c r="S66" s="211">
        <v>100.1065635609204</v>
      </c>
      <c r="T66" s="211">
        <v>106.76833169408822</v>
      </c>
      <c r="U66" s="260">
        <f t="shared" si="7"/>
        <v>278.9029249358292</v>
      </c>
      <c r="V66" s="260">
        <f t="shared" si="8"/>
        <v>10676.833169408821</v>
      </c>
      <c r="W66" s="261">
        <f t="shared" si="9"/>
        <v>192.95017170997212</v>
      </c>
      <c r="X66" s="262"/>
      <c r="Y66" s="263"/>
      <c r="Z66" s="264"/>
      <c r="AA66" s="316"/>
    </row>
    <row r="67" spans="1:27" s="89" customFormat="1" ht="24" customHeight="1">
      <c r="A67" s="322" t="s">
        <v>104</v>
      </c>
      <c r="B67" s="323" t="s">
        <v>12</v>
      </c>
      <c r="C67" s="324"/>
      <c r="D67" s="324"/>
      <c r="E67" s="325">
        <v>15093</v>
      </c>
      <c r="F67" s="326">
        <v>4545</v>
      </c>
      <c r="G67" s="327">
        <v>16921</v>
      </c>
      <c r="H67" s="326">
        <v>6431</v>
      </c>
      <c r="I67" s="327">
        <v>41249</v>
      </c>
      <c r="J67" s="327">
        <v>13567</v>
      </c>
      <c r="K67" s="328">
        <v>9320</v>
      </c>
      <c r="L67" s="328">
        <v>3518</v>
      </c>
      <c r="M67" s="327">
        <v>206067.99999999997</v>
      </c>
      <c r="N67" s="327">
        <v>71282</v>
      </c>
      <c r="O67" s="329">
        <f>G67/E67*100</f>
        <v>112.11157490227257</v>
      </c>
      <c r="P67" s="214">
        <f t="shared" si="6"/>
        <v>141.4961496149615</v>
      </c>
      <c r="Q67" s="330">
        <f t="shared" si="5"/>
        <v>181.5557939914163</v>
      </c>
      <c r="R67" s="330">
        <f t="shared" si="5"/>
        <v>182.802728823195</v>
      </c>
      <c r="S67" s="330">
        <v>68.08563317047405</v>
      </c>
      <c r="T67" s="330">
        <v>81.84231163660493</v>
      </c>
      <c r="U67" s="260">
        <f t="shared" si="7"/>
        <v>78.57793690572713</v>
      </c>
      <c r="V67" s="260">
        <f t="shared" si="8"/>
        <v>8184.231163660494</v>
      </c>
      <c r="W67" s="261">
        <f t="shared" si="9"/>
        <v>141.4961496149615</v>
      </c>
      <c r="X67" s="262"/>
      <c r="Y67" s="263"/>
      <c r="Z67" s="264"/>
      <c r="AA67" s="316"/>
    </row>
    <row r="68" spans="1:18" ht="16.5">
      <c r="A68" s="106" t="s">
        <v>135</v>
      </c>
      <c r="B68" s="106"/>
      <c r="C68" s="106"/>
      <c r="E68" s="106"/>
      <c r="F68" s="106"/>
      <c r="G68" s="106"/>
      <c r="H68" s="106"/>
      <c r="I68" s="106"/>
      <c r="J68" s="106"/>
      <c r="K68" s="179"/>
      <c r="L68" s="179"/>
      <c r="M68" s="106"/>
      <c r="N68" s="179"/>
      <c r="O68" s="106"/>
      <c r="P68" s="106"/>
      <c r="Q68" s="107"/>
      <c r="R68" s="108"/>
    </row>
    <row r="69" spans="1:17" ht="16.5">
      <c r="A69" s="84" t="s">
        <v>136</v>
      </c>
      <c r="B69" s="83"/>
      <c r="E69" s="84"/>
      <c r="F69" s="84"/>
      <c r="G69" s="84"/>
      <c r="H69" s="84"/>
      <c r="I69" s="84"/>
      <c r="J69" s="84"/>
      <c r="K69" s="180"/>
      <c r="L69" s="180"/>
      <c r="M69" s="84"/>
      <c r="N69" s="180"/>
      <c r="O69" s="84"/>
      <c r="P69" s="84"/>
      <c r="Q69" s="82"/>
    </row>
  </sheetData>
  <sheetProtection/>
  <mergeCells count="32">
    <mergeCell ref="S5:T5"/>
    <mergeCell ref="O4:T4"/>
    <mergeCell ref="I4:J4"/>
    <mergeCell ref="M4:N4"/>
    <mergeCell ref="O5:P5"/>
    <mergeCell ref="Q5:R5"/>
    <mergeCell ref="A2:R2"/>
    <mergeCell ref="E4:F4"/>
    <mergeCell ref="H5:H6"/>
    <mergeCell ref="C7:D7"/>
    <mergeCell ref="E7:F7"/>
    <mergeCell ref="G7:H7"/>
    <mergeCell ref="I7:J7"/>
    <mergeCell ref="I5:I6"/>
    <mergeCell ref="J5:J6"/>
    <mergeCell ref="A4:A6"/>
    <mergeCell ref="B4:B6"/>
    <mergeCell ref="C4:D6"/>
    <mergeCell ref="E5:E6"/>
    <mergeCell ref="F5:F6"/>
    <mergeCell ref="G5:G6"/>
    <mergeCell ref="G4:H4"/>
    <mergeCell ref="M7:N7"/>
    <mergeCell ref="O7:P7"/>
    <mergeCell ref="Q7:R7"/>
    <mergeCell ref="S7:T7"/>
    <mergeCell ref="K4:L4"/>
    <mergeCell ref="K5:K6"/>
    <mergeCell ref="L5:L6"/>
    <mergeCell ref="K7:L7"/>
    <mergeCell ref="N5:N6"/>
    <mergeCell ref="M5:M6"/>
  </mergeCells>
  <printOptions/>
  <pageMargins left="0.1968503937007874" right="0.1968503937007874" top="0.31496062992125984" bottom="0.35433070866141736" header="0.15748031496062992" footer="0.15748031496062992"/>
  <pageSetup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7" sqref="G7"/>
    </sheetView>
  </sheetViews>
  <sheetFormatPr defaultColWidth="8.72265625" defaultRowHeight="16.5"/>
  <cols>
    <col min="1" max="1" width="33.8125" style="11" customWidth="1"/>
    <col min="2" max="3" width="12.6328125" style="11" customWidth="1"/>
    <col min="4" max="4" width="11.6328125" style="11" bestFit="1" customWidth="1"/>
    <col min="5" max="5" width="10.18359375" style="11" bestFit="1" customWidth="1"/>
    <col min="6" max="16384" width="8.90625" style="11" customWidth="1"/>
  </cols>
  <sheetData>
    <row r="1" ht="15.75">
      <c r="A1" s="23" t="s">
        <v>7</v>
      </c>
    </row>
    <row r="2" spans="1:5" ht="15.75">
      <c r="A2" s="24" t="s">
        <v>168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6" s="12" customFormat="1" ht="24.75" customHeight="1">
      <c r="A4" s="424" t="s">
        <v>14</v>
      </c>
      <c r="B4" s="440" t="s">
        <v>30</v>
      </c>
      <c r="C4" s="141" t="s">
        <v>169</v>
      </c>
      <c r="D4" s="142"/>
      <c r="E4" s="143"/>
      <c r="F4" s="440" t="s">
        <v>81</v>
      </c>
    </row>
    <row r="5" spans="1:6" s="12" customFormat="1" ht="45.75" customHeight="1">
      <c r="A5" s="426"/>
      <c r="B5" s="441"/>
      <c r="C5" s="144" t="s">
        <v>79</v>
      </c>
      <c r="D5" s="144" t="s">
        <v>80</v>
      </c>
      <c r="E5" s="144" t="s">
        <v>74</v>
      </c>
      <c r="F5" s="441"/>
    </row>
    <row r="6" spans="1:6" s="12" customFormat="1" ht="15.75">
      <c r="A6" s="44" t="s">
        <v>10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</row>
    <row r="7" spans="1:6" s="15" customFormat="1" ht="24" customHeight="1">
      <c r="A7" s="13" t="s">
        <v>15</v>
      </c>
      <c r="B7" s="14">
        <v>154.02</v>
      </c>
      <c r="C7" s="14">
        <v>100.92</v>
      </c>
      <c r="D7" s="14">
        <v>100.15</v>
      </c>
      <c r="E7" s="14">
        <v>100.35</v>
      </c>
      <c r="F7" s="14">
        <v>100.57</v>
      </c>
    </row>
    <row r="8" spans="1:7" ht="24" customHeight="1">
      <c r="A8" s="16" t="s">
        <v>16</v>
      </c>
      <c r="B8" s="17">
        <v>169.02</v>
      </c>
      <c r="C8" s="17">
        <v>104.57</v>
      </c>
      <c r="D8" s="17">
        <v>101.63</v>
      </c>
      <c r="E8" s="17">
        <v>100.43</v>
      </c>
      <c r="F8" s="17">
        <v>103.66</v>
      </c>
      <c r="G8" s="39"/>
    </row>
    <row r="9" spans="1:7" ht="24" customHeight="1">
      <c r="A9" s="16" t="s">
        <v>33</v>
      </c>
      <c r="B9" s="17">
        <v>154.99</v>
      </c>
      <c r="C9" s="17">
        <v>100.79</v>
      </c>
      <c r="D9" s="17">
        <v>99.65</v>
      </c>
      <c r="E9" s="17">
        <v>99.29</v>
      </c>
      <c r="F9" s="17">
        <v>100.77</v>
      </c>
      <c r="G9" s="39"/>
    </row>
    <row r="10" spans="1:7" ht="24" customHeight="1">
      <c r="A10" s="16" t="s">
        <v>17</v>
      </c>
      <c r="B10" s="17">
        <v>170.14</v>
      </c>
      <c r="C10" s="17">
        <v>105.82</v>
      </c>
      <c r="D10" s="17">
        <v>101.89</v>
      </c>
      <c r="E10" s="17">
        <v>100.33</v>
      </c>
      <c r="F10" s="17">
        <v>104.29</v>
      </c>
      <c r="G10" s="39"/>
    </row>
    <row r="11" spans="1:7" ht="24" customHeight="1">
      <c r="A11" s="16" t="s">
        <v>34</v>
      </c>
      <c r="B11" s="17">
        <v>181.36</v>
      </c>
      <c r="C11" s="17">
        <v>104.49</v>
      </c>
      <c r="D11" s="18">
        <v>102.78</v>
      </c>
      <c r="E11" s="18">
        <v>101.92</v>
      </c>
      <c r="F11" s="18">
        <v>104.62</v>
      </c>
      <c r="G11" s="39"/>
    </row>
    <row r="12" spans="1:7" ht="24" customHeight="1">
      <c r="A12" s="16" t="s">
        <v>18</v>
      </c>
      <c r="B12" s="17">
        <v>140.38</v>
      </c>
      <c r="C12" s="17">
        <v>102.17</v>
      </c>
      <c r="D12" s="17">
        <v>100.5</v>
      </c>
      <c r="E12" s="17">
        <v>99.91</v>
      </c>
      <c r="F12" s="17">
        <v>102.69</v>
      </c>
      <c r="G12" s="39"/>
    </row>
    <row r="13" spans="1:7" ht="24" customHeight="1">
      <c r="A13" s="16" t="s">
        <v>19</v>
      </c>
      <c r="B13" s="17">
        <v>156.92</v>
      </c>
      <c r="C13" s="17">
        <v>106.33</v>
      </c>
      <c r="D13" s="17">
        <v>101.88</v>
      </c>
      <c r="E13" s="17">
        <v>100.04</v>
      </c>
      <c r="F13" s="17">
        <v>106.21</v>
      </c>
      <c r="G13" s="39"/>
    </row>
    <row r="14" spans="1:7" ht="24" customHeight="1">
      <c r="A14" s="16" t="s">
        <v>35</v>
      </c>
      <c r="B14" s="17">
        <v>151.8</v>
      </c>
      <c r="C14" s="17">
        <v>94.47</v>
      </c>
      <c r="D14" s="17">
        <v>98.41</v>
      </c>
      <c r="E14" s="17">
        <v>100.6</v>
      </c>
      <c r="F14" s="17">
        <v>93.48</v>
      </c>
      <c r="G14" s="39"/>
    </row>
    <row r="15" spans="1:7" ht="24" customHeight="1">
      <c r="A15" s="16" t="s">
        <v>20</v>
      </c>
      <c r="B15" s="17">
        <v>148.32</v>
      </c>
      <c r="C15" s="17">
        <v>104.54</v>
      </c>
      <c r="D15" s="17">
        <v>102.42</v>
      </c>
      <c r="E15" s="17">
        <v>101.24</v>
      </c>
      <c r="F15" s="17">
        <v>103.73</v>
      </c>
      <c r="G15" s="39"/>
    </row>
    <row r="16" spans="1:7" ht="24" customHeight="1">
      <c r="A16" s="16" t="s">
        <v>21</v>
      </c>
      <c r="B16" s="17">
        <v>157.08</v>
      </c>
      <c r="C16" s="17">
        <v>101</v>
      </c>
      <c r="D16" s="17">
        <v>100.09</v>
      </c>
      <c r="E16" s="17">
        <v>100.02</v>
      </c>
      <c r="F16" s="17">
        <v>101.16</v>
      </c>
      <c r="G16" s="39"/>
    </row>
    <row r="17" spans="1:7" ht="24" customHeight="1">
      <c r="A17" s="16" t="s">
        <v>31</v>
      </c>
      <c r="B17" s="17">
        <v>126.45</v>
      </c>
      <c r="C17" s="17">
        <v>83.02</v>
      </c>
      <c r="D17" s="17">
        <v>90.58</v>
      </c>
      <c r="E17" s="17">
        <v>99.8</v>
      </c>
      <c r="F17" s="17">
        <v>84.88</v>
      </c>
      <c r="G17" s="39"/>
    </row>
    <row r="18" spans="1:7" ht="24" customHeight="1">
      <c r="A18" s="16" t="s">
        <v>32</v>
      </c>
      <c r="B18" s="17">
        <v>85.74</v>
      </c>
      <c r="C18" s="17">
        <v>98.97</v>
      </c>
      <c r="D18" s="17">
        <v>99.11</v>
      </c>
      <c r="E18" s="17">
        <v>99.65</v>
      </c>
      <c r="F18" s="17">
        <v>99.16</v>
      </c>
      <c r="G18" s="39"/>
    </row>
    <row r="19" spans="1:7" ht="24" customHeight="1">
      <c r="A19" s="16" t="s">
        <v>22</v>
      </c>
      <c r="B19" s="17">
        <v>176.28</v>
      </c>
      <c r="C19" s="17">
        <v>102.01</v>
      </c>
      <c r="D19" s="17">
        <v>100.01</v>
      </c>
      <c r="E19" s="17">
        <v>99.99</v>
      </c>
      <c r="F19" s="17">
        <v>102.18</v>
      </c>
      <c r="G19" s="39"/>
    </row>
    <row r="20" spans="1:7" ht="24" customHeight="1">
      <c r="A20" s="16" t="s">
        <v>23</v>
      </c>
      <c r="B20" s="17">
        <v>126.66</v>
      </c>
      <c r="C20" s="17">
        <v>102.19</v>
      </c>
      <c r="D20" s="17">
        <v>100.64</v>
      </c>
      <c r="E20" s="17">
        <v>100.52</v>
      </c>
      <c r="F20" s="17">
        <v>102.25</v>
      </c>
      <c r="G20" s="39"/>
    </row>
    <row r="21" spans="1:7" ht="24" customHeight="1">
      <c r="A21" s="16" t="s">
        <v>24</v>
      </c>
      <c r="B21" s="17">
        <v>166.22</v>
      </c>
      <c r="C21" s="17">
        <v>103.79</v>
      </c>
      <c r="D21" s="17">
        <v>101.83</v>
      </c>
      <c r="E21" s="17">
        <v>100.33</v>
      </c>
      <c r="F21" s="17">
        <v>103.53</v>
      </c>
      <c r="G21" s="39"/>
    </row>
    <row r="22" spans="1:7" s="20" customFormat="1" ht="24" customHeight="1">
      <c r="A22" s="19" t="s">
        <v>25</v>
      </c>
      <c r="B22" s="30">
        <v>163.59</v>
      </c>
      <c r="C22" s="30">
        <v>93.61</v>
      </c>
      <c r="D22" s="30">
        <v>102.84</v>
      </c>
      <c r="E22" s="223">
        <v>98.3</v>
      </c>
      <c r="F22" s="30">
        <v>97.08</v>
      </c>
      <c r="G22" s="39"/>
    </row>
    <row r="23" spans="1:7" s="20" customFormat="1" ht="24" customHeight="1">
      <c r="A23" s="21" t="s">
        <v>26</v>
      </c>
      <c r="B23" s="31">
        <v>138.59</v>
      </c>
      <c r="C23" s="31">
        <v>100.96</v>
      </c>
      <c r="D23" s="31">
        <v>100.34</v>
      </c>
      <c r="E23" s="31">
        <v>100.24</v>
      </c>
      <c r="F23" s="31">
        <v>100.88</v>
      </c>
      <c r="G23" s="39"/>
    </row>
  </sheetData>
  <sheetProtection/>
  <mergeCells count="3">
    <mergeCell ref="A4:A5"/>
    <mergeCell ref="F4:F5"/>
    <mergeCell ref="B4:B5"/>
  </mergeCells>
  <printOptions/>
  <pageMargins left="1.7322834645669292" right="0.2755905511811024" top="0.5118110236220472" bottom="0.4724409448818898" header="0.15748031496062992" footer="0.1968503937007874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2015-02-27T07:39:24Z</cp:lastPrinted>
  <dcterms:created xsi:type="dcterms:W3CDTF">2002-05-14T16:08:28Z</dcterms:created>
  <dcterms:modified xsi:type="dcterms:W3CDTF">2015-04-13T08:10:17Z</dcterms:modified>
  <cp:category/>
  <cp:version/>
  <cp:contentType/>
  <cp:contentStatus/>
</cp:coreProperties>
</file>